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 hidePivotFieldList="1"/>
  <bookViews>
    <workbookView xWindow="255" yWindow="495" windowWidth="27915" windowHeight="7215" activeTab="3"/>
  </bookViews>
  <sheets>
    <sheet name="Instructions" sheetId="1" r:id="rId1"/>
    <sheet name="RATE Summary" sheetId="2" r:id="rId2"/>
    <sheet name="Summary" sheetId="3" r:id="rId3"/>
    <sheet name="Transactions" sheetId="4" r:id="rId4"/>
    <sheet name="Pivot" sheetId="5" r:id="rId5"/>
    <sheet name="Prime-Rates" sheetId="6" r:id="rId6"/>
  </sheets>
  <externalReferences>
    <externalReference r:id="rId10"/>
    <externalReference r:id="rId11"/>
    <externalReference r:id="rId12"/>
  </externalReferences>
  <definedNames>
    <definedName name="_xlnm._FilterDatabase" localSheetId="5" hidden="1">'Prime-Rates'!$A$1:$C$643</definedName>
    <definedName name="AS1_1999" localSheetId="3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Summary'!$B$2:$F$135</definedName>
    <definedName name="_xlnm.Print_Area" localSheetId="2">'Summary'!$C$1:$H$40</definedName>
    <definedName name="_xlnm.Print_Area" localSheetId="3">'Transactions'!$A$1:$AE$223</definedName>
    <definedName name="_xlnm.Print_Titles" localSheetId="4">'Pivot'!$3:$4</definedName>
    <definedName name="_xlnm.Print_Titles" localSheetId="3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4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<sst xmlns="http://schemas.openxmlformats.org/spreadsheetml/2006/main" count="1053" uniqueCount="382">
  <si>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</si>
  <si>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</si>
  <si>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</si>
  <si>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</si>
  <si>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</si>
  <si>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</si>
  <si>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</si>
  <si>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</si>
  <si>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</si>
  <si>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</si>
  <si>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</si>
  <si>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</si>
  <si>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</si>
  <si>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</si>
  <si>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</si>
  <si>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</si>
  <si>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</si>
  <si>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</si>
  <si>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</si>
  <si>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</si>
  <si>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</si>
  <si>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</si>
  <si>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</si>
  <si>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</si>
  <si>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</si>
  <si>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</si>
  <si>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</si>
  <si>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</si>
  <si>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</si>
  <si>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</si>
  <si>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</si>
  <si>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</si>
  <si>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</si>
  <si>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</si>
  <si>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</si>
  <si>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</si>
  <si>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</si>
  <si>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</si>
  <si>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</si>
  <si>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</si>
  <si>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</si>
  <si>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</si>
  <si>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</si>
  <si>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</si>
  <si>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</si>
  <si>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</si>
  <si>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</si>
  <si>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</si>
  <si>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</si>
  <si>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</si>
  <si>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</si>
  <si>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</si>
  <si>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</si>
  <si>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</si>
  <si>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</si>
  <si>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</si>
  <si>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</si>
  <si>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</si>
  <si>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</si>
  <si>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</si>
  <si>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</si>
  <si>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</si>
  <si>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</si>
  <si>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</si>
  <si>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</si>
  <si>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</si>
  <si>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</si>
  <si>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</si>
  <si>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</si>
  <si>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</si>
  <si>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</si>
  <si>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</si>
  <si>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</si>
  <si>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</si>
  <si>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</si>
  <si>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</si>
  <si>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</si>
  <si>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</si>
  <si>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</si>
  <si>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</si>
  <si>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</si>
  <si>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</si>
  <si>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</si>
  <si>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</si>
  <si>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</si>
  <si>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</si>
  <si>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</si>
  <si>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</si>
  <si>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</si>
  <si>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</si>
  <si>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</si>
  <si>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</si>
  <si>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</si>
  <si>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</si>
  <si>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</si>
  <si>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</si>
  <si>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</si>
  <si>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</si>
  <si>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</si>
  <si>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</si>
  <si>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</si>
  <si>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</si>
  <si>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</si>
  <si>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</si>
  <si>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</si>
  <si>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</si>
  <si>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</si>
  <si>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</si>
  <si>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</si>
  <si>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</si>
  <si>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</si>
  <si>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</si>
  <si>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</si>
  <si>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</si>
  <si>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</si>
  <si>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</si>
  <si>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</si>
  <si>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</si>
  <si>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</si>
  <si>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</si>
  <si>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</si>
  <si>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</si>
  <si>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</si>
  <si>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</si>
  <si>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</si>
  <si>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</si>
  <si>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</si>
  <si>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</si>
  <si>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</si>
  <si>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</si>
  <si>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</si>
  <si>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</si>
  <si>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</si>
  <si>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</si>
  <si>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</si>
  <si>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</si>
  <si>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</si>
  <si>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</si>
  <si>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</si>
  <si>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</si>
  <si>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</si>
  <si>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</si>
  <si>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</si>
  <si>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</si>
  <si>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</si>
  <si>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</si>
  <si>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</si>
  <si>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</si>
  <si>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</si>
  <si>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</si>
  <si>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</si>
  <si>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</si>
  <si>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</si>
  <si>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</si>
  <si>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</si>
  <si>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</si>
  <si>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</si>
  <si>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</si>
  <si>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</si>
  <si>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</si>
  <si>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</si>
  <si>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</si>
  <si>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</si>
  <si>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</si>
  <si>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</si>
  <si>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</si>
  <si>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</si>
  <si>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</si>
  <si>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</si>
  <si>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</si>
  <si>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</si>
  <si>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</si>
  <si>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</si>
  <si>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</si>
  <si>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</si>
  <si>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</si>
  <si>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</si>
  <si>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</si>
  <si>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</si>
  <si>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</si>
  <si>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</si>
  <si>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</si>
  <si>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</si>
  <si>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</si>
  <si>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</si>
  <si>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</si>
  <si>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</si>
  <si>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</si>
  <si>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</si>
  <si>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</si>
  <si>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</si>
  <si>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</si>
  <si>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</si>
  <si>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</si>
  <si>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</si>
  <si>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</si>
  <si>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</si>
  <si>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</si>
  <si>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</si>
  <si>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</si>
  <si>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</si>
  <si>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</si>
  <si>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</si>
  <si>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</si>
  <si>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</si>
  <si>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</si>
  <si>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</si>
  <si>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</si>
  <si>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</si>
  <si>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</si>
  <si>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</si>
  <si>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</si>
  <si>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</si>
  <si>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</si>
  <si>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</si>
  <si>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</si>
  <si>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</si>
  <si>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</si>
  <si>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</si>
  <si>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</si>
  <si>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</si>
  <si>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</si>
  <si>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</si>
  <si>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</si>
  <si>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</si>
  <si>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</si>
  <si>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</si>
  <si>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</si>
  <si>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</si>
  <si>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</si>
  <si>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</si>
  <si>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</si>
  <si>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</si>
  <si>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</si>
  <si>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</si>
  <si>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</si>
  <si>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</si>
  <si>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</si>
  <si>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</si>
  <si>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</si>
  <si>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</si>
  <si>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</si>
  <si>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</si>
  <si>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</si>
  <si>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</si>
  <si>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</si>
  <si>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</si>
  <si>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</si>
  <si>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</si>
  <si>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</si>
  <si>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</si>
  <si>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</si>
  <si>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</si>
  <si>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</si>
  <si>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</si>
  <si>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</si>
  <si>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</si>
  <si>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</si>
  <si>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</si>
  <si>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</si>
  <si>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</si>
  <si>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</si>
  <si>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</si>
  <si>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</si>
  <si>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</si>
  <si>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</si>
  <si>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</si>
  <si>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</si>
  <si>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</si>
  <si>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</si>
  <si>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</si>
  <si>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</si>
  <si>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</si>
  <si>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</si>
  <si>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</si>
  <si>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</si>
  <si>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</si>
  <si>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</si>
  <si>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</si>
  <si>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</si>
  <si>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</si>
  <si>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</si>
  <si>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</si>
  <si>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</si>
  <si>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</si>
  <si>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</si>
  <si>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</si>
  <si>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</si>
  <si>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</si>
  <si>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</si>
  <si>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</si>
  <si>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</si>
  <si>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</si>
  <si>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</si>
  <si>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</si>
  <si>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</si>
  <si>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</si>
  <si>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</si>
  <si>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</si>
  <si>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</si>
  <si>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</si>
  <si>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</si>
  <si>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</si>
  <si>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</si>
  <si>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</si>
  <si>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</si>
  <si>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</si>
  <si>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</si>
  <si>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</si>
  <si>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</si>
  <si>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</si>
  <si>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</si>
  <si>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</si>
  <si>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</si>
  <si>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</si>
  <si>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</si>
  <si>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</si>
  <si>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</si>
  <si>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</si>
  <si>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</si>
  <si>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</si>
  <si>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</si>
  <si>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</si>
  <si>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</si>
  <si>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</si>
  <si>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2013 update projected ARR = $155,652,292 // PTP rate $1,586.22</t>
  </si>
  <si>
    <t>CY2012 True-Up ARR = $148,229,152 // PTP rate $1,510.57</t>
  </si>
  <si>
    <t>CY2013 True-Up ARR = $145,213,454 // PTP rate = $1,491.39</t>
  </si>
  <si>
    <t>2014 update projected ARR = $154,431,445 // PTP rate = $1,586.06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</si>
  <si>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</si>
  <si>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</si>
  <si>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</si>
  <si>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</si>
  <si>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</si>
  <si>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</si>
  <si>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</si>
  <si>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</si>
  <si>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</si>
  <si>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</si>
  <si>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</si>
  <si>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</si>
  <si>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</si>
  <si>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</si>
  <si>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</si>
  <si>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</si>
  <si>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</si>
  <si>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</si>
  <si>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</si>
  <si>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</si>
  <si>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</si>
  <si>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</si>
  <si>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</si>
  <si>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</si>
  <si>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</si>
  <si>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t>4/2017, 3.71</t>
  </si>
  <si>
    <t>01/2017, 3.50</t>
  </si>
  <si>
    <t>2/2017, 3.50</t>
  </si>
  <si>
    <t>3/2017, 3.50</t>
  </si>
  <si>
    <t>5/2017, 3.71</t>
  </si>
  <si>
    <t>6/2017, 3.71</t>
  </si>
  <si>
    <t>7/2017, 3.96</t>
  </si>
  <si>
    <t>8/2017, 3.96</t>
  </si>
  <si>
    <t>9/2017, 3.96</t>
  </si>
  <si>
    <t>10/2017, 4.21</t>
  </si>
  <si>
    <t>11/2017, 4.21</t>
  </si>
  <si>
    <t>12/2017, 4.21</t>
  </si>
  <si>
    <t>01/2018, 4.25</t>
  </si>
  <si>
    <t>2/2018, 4.25</t>
  </si>
  <si>
    <t>3/2018, 4.25</t>
  </si>
  <si>
    <t>4/2018, 4.47</t>
  </si>
  <si>
    <t>5/2018, 4.47</t>
  </si>
  <si>
    <t>6/2018, 4.47</t>
  </si>
  <si>
    <t>7/2018, 4.47</t>
  </si>
  <si>
    <t>8/2018, 4.47</t>
  </si>
  <si>
    <t>9/2018, 4.47</t>
  </si>
  <si>
    <t>10/2018, 4.47</t>
  </si>
  <si>
    <t>11/2018, 4.47</t>
  </si>
  <si>
    <t>12/2018, 4.47</t>
  </si>
  <si>
    <t>from 2016 Update*</t>
  </si>
  <si>
    <t xml:space="preserve"> from 2017 update*</t>
  </si>
  <si>
    <t>AECI</t>
  </si>
  <si>
    <t>* SPP bills customer on third business day, AEP receives on 24th or next business day.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</si>
</sst>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&quot;$&quot;* #,##0.0000_);_(&quot;$&quot;* \(#,##0.0000\);_(&quot;$&quot;* &quot;-&quot;??_);_(@_)"/>
    <numFmt numFmtId="180" formatCode="m/d/yy;@"/>
    <numFmt numFmtId="181" formatCode="&quot;$&quot;#,##0.000"/>
    <numFmt numFmtId="182" formatCode="&quot;$&quot;#,##0.0000"/>
    <numFmt numFmtId="183" formatCode="&quot;$&quot;#,##0.00000"/>
    <numFmt numFmtId="184" formatCode="&quot;$&quot;#,##0.000000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3" fillId="35" borderId="52" xfId="0" applyFont="1" applyFill="1" applyBorder="1" applyAlignment="1">
      <alignment horizontal="center" wrapText="1"/>
    </xf>
    <xf numFmtId="0" fontId="13" fillId="35" borderId="53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4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44" fontId="13" fillId="36" borderId="54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8" fontId="13" fillId="36" borderId="57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7" xfId="44" applyFont="1" applyFill="1" applyBorder="1" applyAlignment="1">
      <alignment/>
    </xf>
    <xf numFmtId="44" fontId="13" fillId="36" borderId="55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44" fontId="13" fillId="38" borderId="57" xfId="44" applyFont="1" applyFill="1" applyBorder="1" applyAlignment="1">
      <alignment/>
    </xf>
    <xf numFmtId="44" fontId="13" fillId="36" borderId="55" xfId="0" applyNumberFormat="1" applyFont="1" applyFill="1" applyBorder="1" applyAlignment="1">
      <alignment horizontal="center"/>
    </xf>
    <xf numFmtId="44" fontId="13" fillId="38" borderId="55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9" borderId="57" xfId="44" applyFont="1" applyFill="1" applyBorder="1" applyAlignment="1">
      <alignment/>
    </xf>
    <xf numFmtId="44" fontId="13" fillId="39" borderId="55" xfId="44" applyFont="1" applyFill="1" applyBorder="1" applyAlignment="1">
      <alignment/>
    </xf>
    <xf numFmtId="44" fontId="13" fillId="36" borderId="56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44" fontId="13" fillId="18" borderId="57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55" xfId="44" applyFont="1" applyFill="1" applyBorder="1" applyAlignment="1">
      <alignment/>
    </xf>
    <xf numFmtId="0" fontId="0" fillId="13" borderId="0" xfId="0" applyFont="1" applyFill="1" applyAlignment="1">
      <alignment/>
    </xf>
    <xf numFmtId="0" fontId="0" fillId="18" borderId="0" xfId="0" applyFont="1" applyFill="1" applyAlignment="1">
      <alignment/>
    </xf>
    <xf numFmtId="172" fontId="0" fillId="39" borderId="32" xfId="0" applyNumberFormat="1" applyFill="1" applyBorder="1" applyAlignment="1">
      <alignment horizontal="center"/>
    </xf>
    <xf numFmtId="172" fontId="0" fillId="39" borderId="57" xfId="0" applyNumberFormat="1" applyFill="1" applyBorder="1" applyAlignment="1">
      <alignment horizontal="center"/>
    </xf>
    <xf numFmtId="172" fontId="0" fillId="39" borderId="55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44" fontId="13" fillId="13" borderId="57" xfId="44" applyFont="1" applyFill="1" applyBorder="1" applyAlignment="1">
      <alignment/>
    </xf>
    <xf numFmtId="44" fontId="24" fillId="10" borderId="57" xfId="44" applyFont="1" applyFill="1" applyBorder="1" applyAlignment="1">
      <alignment horizontal="right"/>
    </xf>
    <xf numFmtId="44" fontId="24" fillId="10" borderId="55" xfId="44" applyFont="1" applyFill="1" applyBorder="1" applyAlignment="1">
      <alignment horizontal="right"/>
    </xf>
    <xf numFmtId="44" fontId="13" fillId="13" borderId="56" xfId="44" applyFont="1" applyFill="1" applyBorder="1" applyAlignment="1">
      <alignment horizontal="center"/>
    </xf>
    <xf numFmtId="44" fontId="13" fillId="13" borderId="57" xfId="44" applyFont="1" applyFill="1" applyBorder="1" applyAlignment="1">
      <alignment horizontal="center"/>
    </xf>
    <xf numFmtId="44" fontId="13" fillId="13" borderId="55" xfId="44" applyFont="1" applyFill="1" applyBorder="1" applyAlignment="1">
      <alignment horizontal="center"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44" fontId="24" fillId="11" borderId="57" xfId="44" applyFont="1" applyFill="1" applyBorder="1" applyAlignment="1">
      <alignment horizontal="right"/>
    </xf>
    <xf numFmtId="44" fontId="24" fillId="11" borderId="66" xfId="44" applyFont="1" applyFill="1" applyBorder="1" applyAlignment="1">
      <alignment horizontal="right"/>
    </xf>
    <xf numFmtId="44" fontId="13" fillId="13" borderId="66" xfId="44" applyFont="1" applyFill="1" applyBorder="1" applyAlignment="1">
      <alignment/>
    </xf>
    <xf numFmtId="44" fontId="13" fillId="41" borderId="57" xfId="44" applyFont="1" applyFill="1" applyBorder="1" applyAlignment="1">
      <alignment/>
    </xf>
    <xf numFmtId="44" fontId="13" fillId="41" borderId="66" xfId="44" applyFont="1" applyFill="1" applyBorder="1" applyAlignment="1">
      <alignment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0" fontId="0" fillId="0" borderId="0" xfId="59" applyNumberFormat="1" applyFont="1" applyFill="1" applyAlignment="1" quotePrefix="1">
      <alignment horizontal="center"/>
    </xf>
    <xf numFmtId="0" fontId="0" fillId="42" borderId="0" xfId="0" applyFill="1" applyAlignment="1">
      <alignment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68" fontId="8" fillId="42" borderId="0" xfId="0" applyNumberFormat="1" applyFont="1" applyFill="1" applyBorder="1" applyAlignment="1">
      <alignment horizontal="right"/>
    </xf>
    <xf numFmtId="164" fontId="8" fillId="42" borderId="0" xfId="0" applyNumberFormat="1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4" fontId="13" fillId="42" borderId="57" xfId="44" applyFont="1" applyFill="1" applyBorder="1" applyAlignment="1">
      <alignment/>
    </xf>
    <xf numFmtId="0" fontId="0" fillId="0" borderId="67" xfId="0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4" fontId="13" fillId="40" borderId="57" xfId="44" applyFont="1" applyFill="1" applyBorder="1" applyAlignment="1">
      <alignment/>
    </xf>
    <xf numFmtId="14" fontId="0" fillId="0" borderId="11" xfId="0" applyNumberFormat="1" applyBorder="1" applyAlignment="1" quotePrefix="1">
      <alignment horizontal="left"/>
    </xf>
    <xf numFmtId="44" fontId="13" fillId="43" borderId="57" xfId="44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81" fontId="8" fillId="42" borderId="0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409575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71475"/>
          <a:ext cx="685800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371475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47800"/>
          <a:ext cx="704850" cy="4667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7%20Annual%20Update\21%202017%20AEP%20FR%20Template%205-22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8%20Annual%20Update\21%202018%20AEP%20FR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P%20SPP%20Trans%20Formula%20Rates%20PSO%20SWE%20OKT%20SWT\2016%20Annual%20Update\00-Published%20Update-June%202016\21%202016%20AEP%20FR%20Template%20201606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6"/>
      <sheetName val="PSO WS C-2 DFIT WP 12-31-15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6"/>
      <sheetName val="SWE WS C-2 DFIT WP 12-31-15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2">
        <row r="29">
          <cell r="I29">
            <v>161844915.256761</v>
          </cell>
        </row>
        <row r="33">
          <cell r="I33">
            <v>1651.41</v>
          </cell>
        </row>
      </sheetData>
      <sheetData sheetId="5">
        <row r="33">
          <cell r="I33">
            <v>1652.23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Trued-Up Zonal Rates"/>
      <sheetName val="Projected Zonal Rates"/>
      <sheetName val="Sch 1A Rates (2)"/>
      <sheetName val="Sch 1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7"/>
      <sheetName val="PSO WS C-2 DFIT WP 12-31-16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7"/>
      <sheetName val="SWE WS C-2 DFIT WP 12-31-16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  <sheetName val="Sheet1"/>
    </sheetNames>
    <sheetDataSet>
      <sheetData sheetId="2">
        <row r="29">
          <cell r="I29">
            <v>159352822.19841266</v>
          </cell>
        </row>
        <row r="33">
          <cell r="I33">
            <v>1666.38</v>
          </cell>
        </row>
      </sheetData>
      <sheetData sheetId="3">
        <row r="33">
          <cell r="I33">
            <v>1875.86</v>
          </cell>
        </row>
      </sheetData>
      <sheetData sheetId="8">
        <row r="10">
          <cell r="E10">
            <v>2694</v>
          </cell>
          <cell r="F10">
            <v>2262</v>
          </cell>
          <cell r="G10">
            <v>2736</v>
          </cell>
          <cell r="H10">
            <v>2513</v>
          </cell>
          <cell r="I10">
            <v>3191</v>
          </cell>
          <cell r="J10">
            <v>3686</v>
          </cell>
          <cell r="K10">
            <v>3995</v>
          </cell>
          <cell r="L10">
            <v>3742</v>
          </cell>
          <cell r="M10">
            <v>3649</v>
          </cell>
          <cell r="N10">
            <v>2962</v>
          </cell>
          <cell r="O10">
            <v>2243</v>
          </cell>
          <cell r="P10">
            <v>2828</v>
          </cell>
        </row>
        <row r="11">
          <cell r="E11">
            <v>2957</v>
          </cell>
          <cell r="F11">
            <v>2402</v>
          </cell>
          <cell r="G11">
            <v>2421</v>
          </cell>
          <cell r="H11">
            <v>2421</v>
          </cell>
          <cell r="I11">
            <v>2898</v>
          </cell>
          <cell r="J11">
            <v>3270</v>
          </cell>
          <cell r="K11">
            <v>3520</v>
          </cell>
          <cell r="L11">
            <v>3299</v>
          </cell>
          <cell r="M11">
            <v>3316</v>
          </cell>
          <cell r="N11">
            <v>3234</v>
          </cell>
          <cell r="O11">
            <v>2406</v>
          </cell>
          <cell r="P11">
            <v>2681</v>
          </cell>
        </row>
        <row r="12">
          <cell r="E12">
            <v>603</v>
          </cell>
          <cell r="F12">
            <v>456</v>
          </cell>
          <cell r="G12">
            <v>342</v>
          </cell>
          <cell r="H12">
            <v>354</v>
          </cell>
          <cell r="I12">
            <v>486</v>
          </cell>
          <cell r="J12">
            <v>572</v>
          </cell>
          <cell r="K12">
            <v>598</v>
          </cell>
          <cell r="L12">
            <v>578</v>
          </cell>
          <cell r="M12">
            <v>546</v>
          </cell>
          <cell r="N12">
            <v>452</v>
          </cell>
          <cell r="O12">
            <v>310</v>
          </cell>
          <cell r="P12">
            <v>535</v>
          </cell>
        </row>
        <row r="13">
          <cell r="E13">
            <v>205</v>
          </cell>
          <cell r="F13">
            <v>127</v>
          </cell>
          <cell r="G13">
            <v>145</v>
          </cell>
          <cell r="H13">
            <v>152</v>
          </cell>
          <cell r="I13">
            <v>195</v>
          </cell>
          <cell r="J13">
            <v>210</v>
          </cell>
          <cell r="K13">
            <v>253</v>
          </cell>
          <cell r="L13">
            <v>241</v>
          </cell>
          <cell r="M13">
            <v>229</v>
          </cell>
          <cell r="N13">
            <v>195</v>
          </cell>
          <cell r="O13">
            <v>118</v>
          </cell>
          <cell r="P13">
            <v>241</v>
          </cell>
        </row>
        <row r="14">
          <cell r="E14">
            <v>47</v>
          </cell>
          <cell r="F14">
            <v>33</v>
          </cell>
          <cell r="G14">
            <v>26</v>
          </cell>
          <cell r="H14">
            <v>28</v>
          </cell>
          <cell r="I14">
            <v>33</v>
          </cell>
          <cell r="J14">
            <v>39</v>
          </cell>
          <cell r="K14">
            <v>41</v>
          </cell>
          <cell r="L14">
            <v>40</v>
          </cell>
          <cell r="M14">
            <v>37</v>
          </cell>
          <cell r="N14">
            <v>31</v>
          </cell>
          <cell r="O14">
            <v>27</v>
          </cell>
          <cell r="P14">
            <v>42</v>
          </cell>
        </row>
        <row r="15">
          <cell r="E15">
            <v>86</v>
          </cell>
          <cell r="F15">
            <v>71</v>
          </cell>
          <cell r="G15">
            <v>90</v>
          </cell>
          <cell r="H15">
            <v>79</v>
          </cell>
          <cell r="I15">
            <v>109</v>
          </cell>
          <cell r="J15">
            <v>136</v>
          </cell>
          <cell r="K15">
            <v>150</v>
          </cell>
          <cell r="L15">
            <v>137</v>
          </cell>
          <cell r="M15">
            <v>134</v>
          </cell>
          <cell r="N15">
            <v>85</v>
          </cell>
          <cell r="O15">
            <v>68</v>
          </cell>
          <cell r="P15">
            <v>89</v>
          </cell>
        </row>
        <row r="16">
          <cell r="E16">
            <v>5</v>
          </cell>
          <cell r="F16">
            <v>5</v>
          </cell>
          <cell r="G16">
            <v>5</v>
          </cell>
          <cell r="H16">
            <v>5</v>
          </cell>
          <cell r="I16">
            <v>5</v>
          </cell>
          <cell r="J16">
            <v>4</v>
          </cell>
          <cell r="K16">
            <v>1</v>
          </cell>
          <cell r="L16">
            <v>1</v>
          </cell>
          <cell r="M16">
            <v>1</v>
          </cell>
          <cell r="N16">
            <v>2</v>
          </cell>
          <cell r="O16">
            <v>3</v>
          </cell>
          <cell r="P16">
            <v>5</v>
          </cell>
        </row>
        <row r="17">
          <cell r="E17">
            <v>3</v>
          </cell>
          <cell r="F17">
            <v>3</v>
          </cell>
          <cell r="G17">
            <v>3</v>
          </cell>
          <cell r="H17">
            <v>3</v>
          </cell>
          <cell r="I17">
            <v>4</v>
          </cell>
          <cell r="J17">
            <v>3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1</v>
          </cell>
          <cell r="P17">
            <v>3</v>
          </cell>
        </row>
        <row r="18">
          <cell r="E18">
            <v>8</v>
          </cell>
          <cell r="F18">
            <v>14</v>
          </cell>
          <cell r="G18">
            <v>13</v>
          </cell>
          <cell r="H18">
            <v>12</v>
          </cell>
          <cell r="I18">
            <v>13</v>
          </cell>
          <cell r="J18">
            <v>12</v>
          </cell>
          <cell r="K18">
            <v>13</v>
          </cell>
          <cell r="L18">
            <v>13</v>
          </cell>
          <cell r="M18">
            <v>14</v>
          </cell>
          <cell r="N18">
            <v>13</v>
          </cell>
          <cell r="O18">
            <v>13</v>
          </cell>
          <cell r="P18">
            <v>14</v>
          </cell>
        </row>
        <row r="19">
          <cell r="E19">
            <v>1124</v>
          </cell>
          <cell r="F19">
            <v>734</v>
          </cell>
          <cell r="G19">
            <v>512</v>
          </cell>
          <cell r="H19">
            <v>481</v>
          </cell>
          <cell r="I19">
            <v>630</v>
          </cell>
          <cell r="J19">
            <v>776</v>
          </cell>
          <cell r="K19">
            <v>837</v>
          </cell>
          <cell r="L19">
            <v>848</v>
          </cell>
          <cell r="M19">
            <v>755</v>
          </cell>
          <cell r="N19">
            <v>731</v>
          </cell>
          <cell r="O19">
            <v>504</v>
          </cell>
          <cell r="P19">
            <v>900</v>
          </cell>
        </row>
        <row r="20">
          <cell r="E20">
            <v>5</v>
          </cell>
          <cell r="F20">
            <v>6</v>
          </cell>
          <cell r="G20">
            <v>6</v>
          </cell>
          <cell r="H20">
            <v>4</v>
          </cell>
          <cell r="I20">
            <v>9</v>
          </cell>
          <cell r="J20">
            <v>11</v>
          </cell>
          <cell r="K20">
            <v>16</v>
          </cell>
          <cell r="L20">
            <v>9</v>
          </cell>
          <cell r="M20">
            <v>6</v>
          </cell>
          <cell r="N20">
            <v>3</v>
          </cell>
          <cell r="O20">
            <v>6</v>
          </cell>
          <cell r="P20">
            <v>8</v>
          </cell>
        </row>
        <row r="21">
          <cell r="E21">
            <v>2</v>
          </cell>
          <cell r="F21">
            <v>1</v>
          </cell>
          <cell r="G21">
            <v>1</v>
          </cell>
          <cell r="H21">
            <v>1</v>
          </cell>
          <cell r="I21">
            <v>2</v>
          </cell>
          <cell r="J21">
            <v>2</v>
          </cell>
          <cell r="K21">
            <v>4</v>
          </cell>
          <cell r="L21">
            <v>2</v>
          </cell>
          <cell r="M21">
            <v>1</v>
          </cell>
          <cell r="N21">
            <v>1</v>
          </cell>
          <cell r="O21">
            <v>1</v>
          </cell>
          <cell r="P21">
            <v>2</v>
          </cell>
        </row>
        <row r="22">
          <cell r="E22">
            <v>97</v>
          </cell>
          <cell r="F22">
            <v>88</v>
          </cell>
          <cell r="G22">
            <v>93</v>
          </cell>
          <cell r="H22">
            <v>100</v>
          </cell>
          <cell r="I22">
            <v>117</v>
          </cell>
          <cell r="J22">
            <v>138</v>
          </cell>
          <cell r="K22">
            <v>152</v>
          </cell>
          <cell r="L22">
            <v>138</v>
          </cell>
          <cell r="M22">
            <v>142</v>
          </cell>
          <cell r="N22">
            <v>116</v>
          </cell>
          <cell r="O22">
            <v>85</v>
          </cell>
          <cell r="P22">
            <v>108</v>
          </cell>
        </row>
        <row r="23">
          <cell r="E23">
            <v>11</v>
          </cell>
          <cell r="F23">
            <v>10</v>
          </cell>
          <cell r="G23">
            <v>8</v>
          </cell>
          <cell r="H23">
            <v>9</v>
          </cell>
          <cell r="I23">
            <v>7</v>
          </cell>
          <cell r="J23">
            <v>13</v>
          </cell>
          <cell r="K23">
            <v>15</v>
          </cell>
          <cell r="L23">
            <v>15</v>
          </cell>
          <cell r="M23">
            <v>15</v>
          </cell>
          <cell r="N23">
            <v>13</v>
          </cell>
          <cell r="O23">
            <v>11</v>
          </cell>
          <cell r="P23">
            <v>7</v>
          </cell>
        </row>
        <row r="24">
          <cell r="E24">
            <v>20</v>
          </cell>
          <cell r="F24">
            <v>16</v>
          </cell>
          <cell r="G24">
            <v>20</v>
          </cell>
          <cell r="H24">
            <v>22</v>
          </cell>
          <cell r="I24">
            <v>26</v>
          </cell>
          <cell r="J24">
            <v>30</v>
          </cell>
          <cell r="K24">
            <v>34</v>
          </cell>
          <cell r="L24">
            <v>34</v>
          </cell>
          <cell r="M24">
            <v>32</v>
          </cell>
          <cell r="N24">
            <v>30</v>
          </cell>
          <cell r="O24">
            <v>20</v>
          </cell>
          <cell r="P24">
            <v>21</v>
          </cell>
        </row>
        <row r="25">
          <cell r="E25">
            <v>37</v>
          </cell>
          <cell r="F25">
            <v>39</v>
          </cell>
          <cell r="G25">
            <v>40</v>
          </cell>
          <cell r="H25">
            <v>40</v>
          </cell>
          <cell r="I25">
            <v>49</v>
          </cell>
          <cell r="J25">
            <v>53</v>
          </cell>
          <cell r="K25">
            <v>55</v>
          </cell>
          <cell r="L25">
            <v>47</v>
          </cell>
          <cell r="M25">
            <v>54</v>
          </cell>
          <cell r="N25">
            <v>51</v>
          </cell>
          <cell r="O25">
            <v>17</v>
          </cell>
          <cell r="P25">
            <v>36</v>
          </cell>
        </row>
        <row r="26">
          <cell r="E26">
            <v>98</v>
          </cell>
          <cell r="F26">
            <v>98</v>
          </cell>
          <cell r="G26">
            <v>95</v>
          </cell>
          <cell r="H26">
            <v>99</v>
          </cell>
          <cell r="I26">
            <v>103</v>
          </cell>
          <cell r="J26">
            <v>97</v>
          </cell>
          <cell r="K26">
            <v>100</v>
          </cell>
          <cell r="L26">
            <v>96</v>
          </cell>
          <cell r="M26">
            <v>103</v>
          </cell>
          <cell r="N26">
            <v>87</v>
          </cell>
          <cell r="O26">
            <v>93</v>
          </cell>
          <cell r="P26">
            <v>98</v>
          </cell>
        </row>
        <row r="27">
          <cell r="E27">
            <v>174</v>
          </cell>
          <cell r="F27">
            <v>106</v>
          </cell>
          <cell r="G27">
            <v>84</v>
          </cell>
          <cell r="H27">
            <v>72</v>
          </cell>
          <cell r="I27">
            <v>98</v>
          </cell>
          <cell r="J27">
            <v>126</v>
          </cell>
          <cell r="K27">
            <v>137</v>
          </cell>
          <cell r="L27">
            <v>138</v>
          </cell>
          <cell r="M27">
            <v>109</v>
          </cell>
          <cell r="N27">
            <v>124</v>
          </cell>
          <cell r="O27">
            <v>85</v>
          </cell>
          <cell r="P27">
            <v>142</v>
          </cell>
        </row>
        <row r="28">
          <cell r="E28">
            <v>48</v>
          </cell>
          <cell r="F28">
            <v>32</v>
          </cell>
          <cell r="G28">
            <v>28</v>
          </cell>
          <cell r="H28">
            <v>23</v>
          </cell>
          <cell r="I28">
            <v>37</v>
          </cell>
          <cell r="J28">
            <v>43</v>
          </cell>
          <cell r="K28">
            <v>51</v>
          </cell>
          <cell r="L28">
            <v>48</v>
          </cell>
          <cell r="M28">
            <v>43</v>
          </cell>
          <cell r="N28">
            <v>32</v>
          </cell>
          <cell r="O28">
            <v>18</v>
          </cell>
          <cell r="P28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PSO Sch 11 Rates"/>
      <sheetName val="SWE Sch 11 Rates"/>
      <sheetName val="Load WS"/>
      <sheetName val="PSO Projected TCOS"/>
      <sheetName val="PSO Historic TCOS"/>
      <sheetName val="PSO True-Up TCOS"/>
      <sheetName val="PSO WS A RB Support "/>
      <sheetName val="PSO WS B Projected Plant"/>
      <sheetName val="PSO WS C RB Tax"/>
      <sheetName val="PSO WS C-1 DFIT WP 12-31-15"/>
      <sheetName val="PSO WS C-2 DFIT WP 12-31-14"/>
      <sheetName val="PSO WS D Working Capital"/>
      <sheetName val="PSO WS E IPP Credits"/>
      <sheetName val="PSO WS F BPU ATRR Projected"/>
      <sheetName val="PSO WS G BPU ATRR True-up"/>
      <sheetName val="PSO WS H Rev Credits"/>
      <sheetName val="PSO WS I Exp Adj"/>
      <sheetName val="PSO WS J Misc Exp"/>
      <sheetName val="PSO WS K State Taxes"/>
      <sheetName val="PSO WS L Other Taxes"/>
      <sheetName val="PSO WS M Cost of Debt for Proj."/>
      <sheetName val="PSO WS N Avg Cap Structure"/>
      <sheetName val="SWE Projected TCOS"/>
      <sheetName val="SWE Historic TCOS"/>
      <sheetName val="SWE True-UP TCOS"/>
      <sheetName val="SWE WS A  - RB Support"/>
      <sheetName val="SWE WS B Projected Plant"/>
      <sheetName val="SWE WS C RB Tax"/>
      <sheetName val="SWE WS C-1 DFIT WP 12-31-15"/>
      <sheetName val="SWE WS C-2 DFIT WP 12-31-14"/>
      <sheetName val="SWE WS D Working Capital"/>
      <sheetName val="SWE WS E IPP Credits"/>
      <sheetName val="SWE WS F BPU ATRR Projected"/>
      <sheetName val="SWE WS G BPU ATRR True-up"/>
      <sheetName val="SWE WS H Rev Credits"/>
      <sheetName val="SWE WS I Exp Adj"/>
      <sheetName val="SWE WS J Misc Exp"/>
      <sheetName val="SWE WS K State Taxes"/>
      <sheetName val="SWE WS L Other Taxes"/>
      <sheetName val="SWE WS M Cost of Debt for Proj"/>
      <sheetName val="SWE WS N Avg Cap Structure"/>
    </sheetNames>
    <sheetDataSet>
      <sheetData sheetId="2">
        <row r="29">
          <cell r="I29">
            <v>159986177.63541734</v>
          </cell>
        </row>
        <row r="33">
          <cell r="I33">
            <v>1623.7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96">
        <d v="2017-01-01T00:00:00.000"/>
        <d v="2017-02-01T00:00:00.000"/>
        <d v="2017-03-01T00:00:00.000"/>
        <d v="2017-04-01T00:00:00.000"/>
        <d v="2017-05-01T00:00:00.000"/>
        <d v="2017-06-01T00:00:00.000"/>
        <d v="2017-07-01T00:00:00.000"/>
        <d v="2017-08-01T00:00:00.000"/>
        <d v="2017-09-01T00:00:00.000"/>
        <d v="2017-10-01T00:00:00.000"/>
        <d v="2017-11-01T00:00:00.000"/>
        <d v="2017-12-01T00:00:00.000"/>
        <d v="2013-05-01T00:00:00.000"/>
        <d v="2014-05-01T00:00:00.000"/>
        <d v="2015-05-01T00:00:00.000"/>
        <d v="2016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6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6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6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6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6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WFEC"/>
        <s v="OMPA"/>
        <s v="OG&amp;E"/>
        <s v="AECI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97">
        <item m="1" x="37"/>
        <item m="1" x="51"/>
        <item m="1" x="65"/>
        <item m="1" x="79"/>
        <item m="1" x="93"/>
        <item m="1" x="23"/>
        <item m="1" x="44"/>
        <item m="1" x="58"/>
        <item m="1" x="72"/>
        <item m="1" x="86"/>
        <item m="1" x="16"/>
        <item m="1" x="30"/>
        <item m="1" x="38"/>
        <item m="1" x="52"/>
        <item m="1" x="66"/>
        <item m="1" x="80"/>
        <item m="1" x="94"/>
        <item m="1" x="24"/>
        <item m="1" x="45"/>
        <item m="1" x="59"/>
        <item m="1" x="73"/>
        <item m="1" x="87"/>
        <item m="1" x="17"/>
        <item m="1" x="31"/>
        <item m="1" x="39"/>
        <item m="1" x="53"/>
        <item m="1" x="67"/>
        <item m="1" x="81"/>
        <item m="1" x="95"/>
        <item m="1" x="25"/>
        <item m="1" x="46"/>
        <item m="1" x="60"/>
        <item m="1" x="74"/>
        <item m="1" x="88"/>
        <item m="1" x="18"/>
        <item m="1" x="32"/>
        <item m="1" x="40"/>
        <item m="1" x="54"/>
        <item m="1" x="68"/>
        <item m="1" x="82"/>
        <item m="1" x="12"/>
        <item m="1" x="26"/>
        <item m="1" x="47"/>
        <item m="1" x="61"/>
        <item m="1" x="75"/>
        <item m="1" x="89"/>
        <item m="1" x="19"/>
        <item m="1" x="33"/>
        <item m="1" x="41"/>
        <item m="1" x="55"/>
        <item m="1" x="69"/>
        <item m="1" x="83"/>
        <item m="1" x="13"/>
        <item m="1" x="27"/>
        <item m="1" x="48"/>
        <item m="1" x="62"/>
        <item m="1" x="76"/>
        <item m="1" x="90"/>
        <item m="1" x="20"/>
        <item m="1" x="34"/>
        <item m="1" x="42"/>
        <item m="1" x="56"/>
        <item m="1" x="70"/>
        <item m="1" x="84"/>
        <item m="1" x="14"/>
        <item m="1" x="28"/>
        <item m="1" x="49"/>
        <item m="1" x="63"/>
        <item m="1" x="77"/>
        <item m="1" x="91"/>
        <item m="1" x="21"/>
        <item m="1" x="35"/>
        <item m="1" x="43"/>
        <item m="1" x="57"/>
        <item m="1" x="71"/>
        <item m="1" x="85"/>
        <item m="1" x="15"/>
        <item m="1" x="29"/>
        <item m="1" x="50"/>
        <item m="1" x="64"/>
        <item m="1" x="78"/>
        <item m="1" x="92"/>
        <item m="1" x="22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6"/>
        <item x="5"/>
        <item m="1" x="20"/>
        <item x="0"/>
        <item x="1"/>
        <item m="1" x="19"/>
        <item x="4"/>
        <item m="1" x="21"/>
        <item x="11"/>
        <item x="12"/>
        <item x="13"/>
        <item x="14"/>
        <item x="2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>
      <x v="21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6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6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7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7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I37" sqref="I37"/>
    </sheetView>
  </sheetViews>
  <sheetFormatPr defaultColWidth="9.140625" defaultRowHeight="12.75"/>
  <sheetData>
    <row r="1" ht="12.75">
      <c r="A1" t="s">
        <v>246</v>
      </c>
    </row>
    <row r="3" spans="1:2" ht="12.75">
      <c r="A3" s="48">
        <v>1</v>
      </c>
      <c r="B3" s="25" t="s">
        <v>249</v>
      </c>
    </row>
    <row r="4" spans="1:2" ht="12.75">
      <c r="A4" s="48">
        <v>2</v>
      </c>
      <c r="B4" s="25" t="s">
        <v>248</v>
      </c>
    </row>
    <row r="5" spans="1:2" ht="12.75">
      <c r="A5" s="48">
        <v>3</v>
      </c>
      <c r="B5" s="25" t="s">
        <v>250</v>
      </c>
    </row>
    <row r="6" spans="1:2" ht="12.75">
      <c r="A6" s="48">
        <v>4</v>
      </c>
      <c r="B6" s="322" t="s">
        <v>318</v>
      </c>
    </row>
    <row r="7" spans="1:2" ht="12.75">
      <c r="A7" s="48">
        <v>5</v>
      </c>
      <c r="B7" s="25" t="s">
        <v>253</v>
      </c>
    </row>
    <row r="8" spans="1:2" ht="12.75">
      <c r="A8" s="48">
        <v>6</v>
      </c>
      <c r="B8" s="25" t="s">
        <v>254</v>
      </c>
    </row>
    <row r="9" spans="1:2" ht="12.75">
      <c r="A9" s="48">
        <v>7</v>
      </c>
      <c r="B9" s="2" t="s">
        <v>255</v>
      </c>
    </row>
    <row r="10" spans="1:2" ht="12.75">
      <c r="A10" s="48">
        <v>8</v>
      </c>
      <c r="B10" s="25" t="s">
        <v>258</v>
      </c>
    </row>
    <row r="11" spans="1:2" ht="12.75">
      <c r="A11" s="48"/>
      <c r="B11" s="25" t="s">
        <v>259</v>
      </c>
    </row>
    <row r="12" spans="1:2" ht="12.75">
      <c r="A12" s="48"/>
      <c r="B12" s="2" t="s">
        <v>260</v>
      </c>
    </row>
    <row r="13" spans="1:2" ht="12.75">
      <c r="A13" s="48"/>
      <c r="B13" s="2" t="s">
        <v>261</v>
      </c>
    </row>
    <row r="14" spans="1:2" ht="12.75">
      <c r="A14" s="48">
        <v>9</v>
      </c>
      <c r="B14" s="25" t="s">
        <v>267</v>
      </c>
    </row>
    <row r="15" spans="1:2" ht="12.75">
      <c r="A15" s="48">
        <v>10</v>
      </c>
      <c r="B15" s="25" t="s">
        <v>269</v>
      </c>
    </row>
    <row r="16" spans="1:2" ht="12.75">
      <c r="A16" s="48">
        <v>11</v>
      </c>
      <c r="B16" s="25" t="s">
        <v>270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2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D141" sqref="D141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8.421875" style="0" customWidth="1"/>
    <col min="7" max="7" width="18.8515625" style="0" customWidth="1"/>
  </cols>
  <sheetData>
    <row r="2" ht="15.75">
      <c r="B2" s="212" t="s">
        <v>175</v>
      </c>
    </row>
    <row r="3" ht="13.5" thickBot="1">
      <c r="B3" s="211" t="s">
        <v>179</v>
      </c>
    </row>
    <row r="4" spans="2:6" ht="51.75" thickBot="1">
      <c r="B4" s="213" t="s">
        <v>172</v>
      </c>
      <c r="C4" s="214" t="s">
        <v>176</v>
      </c>
      <c r="D4" s="214" t="s">
        <v>194</v>
      </c>
      <c r="E4" s="215" t="s">
        <v>173</v>
      </c>
      <c r="F4" s="216" t="s">
        <v>182</v>
      </c>
    </row>
    <row r="5" spans="2:6" ht="13.5" hidden="1" thickBot="1">
      <c r="B5" s="219">
        <v>39448</v>
      </c>
      <c r="C5" s="221">
        <v>922.47</v>
      </c>
      <c r="D5" s="209" t="s">
        <v>170</v>
      </c>
      <c r="E5" s="210" t="s">
        <v>170</v>
      </c>
      <c r="F5" s="205" t="s">
        <v>171</v>
      </c>
    </row>
    <row r="6" spans="2:6" ht="12.75" hidden="1">
      <c r="B6" s="208">
        <v>39479</v>
      </c>
      <c r="C6" s="222" t="s">
        <v>116</v>
      </c>
      <c r="D6" s="228">
        <v>1439.49</v>
      </c>
      <c r="E6" s="239">
        <v>1528.9</v>
      </c>
      <c r="F6" s="205" t="s">
        <v>180</v>
      </c>
    </row>
    <row r="7" spans="2:6" ht="12.75" hidden="1">
      <c r="B7" s="208">
        <v>39508</v>
      </c>
      <c r="C7" s="222" t="s">
        <v>116</v>
      </c>
      <c r="D7" s="228">
        <v>1439.49</v>
      </c>
      <c r="E7" s="239">
        <v>1528.9</v>
      </c>
      <c r="F7" s="205"/>
    </row>
    <row r="8" spans="2:6" ht="12.75" hidden="1">
      <c r="B8" s="208">
        <v>39539</v>
      </c>
      <c r="C8" s="222" t="s">
        <v>116</v>
      </c>
      <c r="D8" s="228">
        <v>1439.49</v>
      </c>
      <c r="E8" s="239">
        <v>1528.9</v>
      </c>
      <c r="F8" s="204"/>
    </row>
    <row r="9" spans="2:6" ht="12.75" hidden="1">
      <c r="B9" s="208">
        <v>39569</v>
      </c>
      <c r="C9" s="222" t="s">
        <v>116</v>
      </c>
      <c r="D9" s="228">
        <v>1439.49</v>
      </c>
      <c r="E9" s="239">
        <v>1528.9</v>
      </c>
      <c r="F9" s="205" t="s">
        <v>178</v>
      </c>
    </row>
    <row r="10" spans="2:5" ht="13.5" hidden="1" thickBot="1">
      <c r="B10" s="208">
        <v>39600</v>
      </c>
      <c r="C10" s="222" t="s">
        <v>116</v>
      </c>
      <c r="D10" s="228">
        <v>1439.49</v>
      </c>
      <c r="E10" s="239">
        <v>1528.9</v>
      </c>
    </row>
    <row r="11" spans="2:6" ht="12.75" hidden="1">
      <c r="B11" s="208">
        <v>39630</v>
      </c>
      <c r="C11" s="223" t="s">
        <v>116</v>
      </c>
      <c r="D11" s="229">
        <v>1555.76</v>
      </c>
      <c r="E11" s="239">
        <v>1528.9</v>
      </c>
      <c r="F11" s="205" t="s">
        <v>181</v>
      </c>
    </row>
    <row r="12" spans="2:6" ht="12.75" hidden="1">
      <c r="B12" s="208">
        <v>39661</v>
      </c>
      <c r="C12" s="224" t="s">
        <v>116</v>
      </c>
      <c r="D12" s="229">
        <v>1555.76</v>
      </c>
      <c r="E12" s="239">
        <v>1528.9</v>
      </c>
      <c r="F12" s="204"/>
    </row>
    <row r="13" spans="2:6" ht="12.75" hidden="1">
      <c r="B13" s="208">
        <v>39692</v>
      </c>
      <c r="C13" s="224" t="s">
        <v>116</v>
      </c>
      <c r="D13" s="229">
        <v>1555.76</v>
      </c>
      <c r="E13" s="239">
        <v>1528.9</v>
      </c>
      <c r="F13" s="204"/>
    </row>
    <row r="14" spans="2:8" ht="12.75" hidden="1">
      <c r="B14" s="208">
        <v>39722</v>
      </c>
      <c r="C14" s="224" t="s">
        <v>116</v>
      </c>
      <c r="D14" s="229">
        <v>1555.76</v>
      </c>
      <c r="E14" s="239">
        <v>1528.9</v>
      </c>
      <c r="H14" s="205"/>
    </row>
    <row r="15" spans="2:6" ht="12.75" hidden="1">
      <c r="B15" s="208">
        <v>39753</v>
      </c>
      <c r="C15" s="224" t="s">
        <v>116</v>
      </c>
      <c r="D15" s="229">
        <v>1555.76</v>
      </c>
      <c r="E15" s="239">
        <v>1528.9</v>
      </c>
      <c r="F15" s="204"/>
    </row>
    <row r="16" spans="2:6" ht="13.5" hidden="1" thickBot="1">
      <c r="B16" s="220">
        <v>39783</v>
      </c>
      <c r="C16" s="224" t="s">
        <v>116</v>
      </c>
      <c r="D16" s="229">
        <v>1555.76</v>
      </c>
      <c r="E16" s="240">
        <v>1528.9</v>
      </c>
      <c r="F16" s="204"/>
    </row>
    <row r="17" spans="2:6" ht="12.75" hidden="1">
      <c r="B17" s="208">
        <v>39814</v>
      </c>
      <c r="C17" s="224" t="s">
        <v>116</v>
      </c>
      <c r="D17" s="229">
        <v>1555.76</v>
      </c>
      <c r="E17" s="239">
        <v>1394.11</v>
      </c>
      <c r="F17" s="204"/>
    </row>
    <row r="18" spans="2:6" ht="13.5" hidden="1" thickBot="1">
      <c r="B18" s="208">
        <v>39845</v>
      </c>
      <c r="C18" s="224" t="s">
        <v>116</v>
      </c>
      <c r="D18" s="230">
        <v>1555.76</v>
      </c>
      <c r="E18" s="239">
        <v>1394.11</v>
      </c>
      <c r="F18" s="204"/>
    </row>
    <row r="19" spans="2:6" ht="12.75" hidden="1">
      <c r="B19" s="208">
        <v>39873</v>
      </c>
      <c r="C19" s="225">
        <v>1527.92</v>
      </c>
      <c r="D19" s="206"/>
      <c r="E19" s="239">
        <v>1394.11</v>
      </c>
      <c r="F19" s="205" t="s">
        <v>174</v>
      </c>
    </row>
    <row r="20" spans="2:6" ht="12.75" hidden="1">
      <c r="B20" s="208">
        <v>39904</v>
      </c>
      <c r="C20" s="225">
        <v>1527.92</v>
      </c>
      <c r="D20" s="206"/>
      <c r="E20" s="239">
        <v>1394.11</v>
      </c>
      <c r="F20" s="205" t="s">
        <v>183</v>
      </c>
    </row>
    <row r="21" spans="2:6" ht="12.75" hidden="1">
      <c r="B21" s="208">
        <v>39934</v>
      </c>
      <c r="C21" s="225">
        <v>1527.92</v>
      </c>
      <c r="D21" s="206"/>
      <c r="E21" s="239">
        <v>1394.11</v>
      </c>
      <c r="F21" s="205" t="s">
        <v>177</v>
      </c>
    </row>
    <row r="22" spans="2:6" ht="13.5" hidden="1" thickBot="1">
      <c r="B22" s="208">
        <v>39965</v>
      </c>
      <c r="C22" s="226">
        <v>1527.92</v>
      </c>
      <c r="D22" s="206"/>
      <c r="E22" s="239">
        <v>1394.11</v>
      </c>
      <c r="F22" s="205" t="s">
        <v>186</v>
      </c>
    </row>
    <row r="23" spans="2:6" ht="12.75" hidden="1">
      <c r="B23" s="208">
        <v>39995</v>
      </c>
      <c r="C23" s="227">
        <v>1592.08</v>
      </c>
      <c r="D23" s="237">
        <v>1616.17</v>
      </c>
      <c r="E23" s="239">
        <v>1394.11</v>
      </c>
      <c r="F23" s="205" t="s">
        <v>187</v>
      </c>
    </row>
    <row r="24" spans="2:6" ht="12.75" hidden="1">
      <c r="B24" s="208">
        <v>40026</v>
      </c>
      <c r="C24" s="225">
        <v>1616.17</v>
      </c>
      <c r="D24" s="206"/>
      <c r="E24" s="239">
        <v>1394.11</v>
      </c>
      <c r="F24" s="205" t="s">
        <v>193</v>
      </c>
    </row>
    <row r="25" spans="2:6" ht="12.75" hidden="1">
      <c r="B25" s="208">
        <v>40057</v>
      </c>
      <c r="C25" s="225">
        <v>1616.17</v>
      </c>
      <c r="D25" s="206"/>
      <c r="E25" s="239">
        <v>1394.11</v>
      </c>
      <c r="F25" s="205" t="s">
        <v>188</v>
      </c>
    </row>
    <row r="26" spans="2:6" ht="12.75" hidden="1">
      <c r="B26" s="208">
        <v>40087</v>
      </c>
      <c r="C26" s="225">
        <v>1616.17</v>
      </c>
      <c r="D26" s="206"/>
      <c r="E26" s="239">
        <v>1394.11</v>
      </c>
      <c r="F26" s="255" t="s">
        <v>213</v>
      </c>
    </row>
    <row r="27" spans="2:6" ht="12.75" hidden="1">
      <c r="B27" s="208">
        <v>40118</v>
      </c>
      <c r="C27" s="225">
        <v>1616.17</v>
      </c>
      <c r="D27" s="206"/>
      <c r="E27" s="239">
        <v>1394.11</v>
      </c>
      <c r="F27" s="205" t="s">
        <v>214</v>
      </c>
    </row>
    <row r="28" spans="2:6" ht="13.5" hidden="1" thickBot="1">
      <c r="B28" s="220">
        <v>40148</v>
      </c>
      <c r="C28" s="225">
        <v>1616.17</v>
      </c>
      <c r="D28" s="206"/>
      <c r="E28" s="320">
        <v>1394.11</v>
      </c>
      <c r="F28" s="204"/>
    </row>
    <row r="29" spans="2:6" ht="12.75" hidden="1">
      <c r="B29" s="208">
        <v>40179</v>
      </c>
      <c r="C29" s="225">
        <v>1616.17</v>
      </c>
      <c r="D29" s="206"/>
      <c r="E29" s="239">
        <v>1458.03</v>
      </c>
      <c r="F29" s="313" t="s">
        <v>224</v>
      </c>
    </row>
    <row r="30" spans="2:6" ht="12.75" hidden="1">
      <c r="B30" s="208">
        <v>40210</v>
      </c>
      <c r="C30" s="225">
        <v>1616.17</v>
      </c>
      <c r="D30" s="206"/>
      <c r="E30" s="239">
        <v>1458.03</v>
      </c>
      <c r="F30" s="313" t="s">
        <v>222</v>
      </c>
    </row>
    <row r="31" spans="2:6" ht="12.75" hidden="1">
      <c r="B31" s="208">
        <v>40238</v>
      </c>
      <c r="C31" s="225">
        <v>1616.17</v>
      </c>
      <c r="D31" s="206"/>
      <c r="E31" s="239">
        <v>1458.03</v>
      </c>
      <c r="F31" s="318" t="s">
        <v>223</v>
      </c>
    </row>
    <row r="32" spans="2:5" ht="12.75" hidden="1">
      <c r="B32" s="208">
        <v>40269</v>
      </c>
      <c r="C32" s="225">
        <v>1616.17</v>
      </c>
      <c r="D32" s="206"/>
      <c r="E32" s="239">
        <v>1458.03</v>
      </c>
    </row>
    <row r="33" spans="1:6" ht="12.75" hidden="1">
      <c r="A33" s="238"/>
      <c r="B33" s="208">
        <v>40299</v>
      </c>
      <c r="C33" s="225">
        <v>1616.17</v>
      </c>
      <c r="D33" s="206"/>
      <c r="E33" s="239">
        <v>1458.03</v>
      </c>
      <c r="F33" s="204"/>
    </row>
    <row r="34" spans="2:6" ht="13.5" hidden="1" thickBot="1">
      <c r="B34" s="208">
        <v>40330</v>
      </c>
      <c r="C34" s="226">
        <v>1616.17</v>
      </c>
      <c r="D34" s="206"/>
      <c r="E34" s="239">
        <v>1458.03</v>
      </c>
      <c r="F34" s="204"/>
    </row>
    <row r="35" spans="2:6" ht="12.75" hidden="1">
      <c r="B35" s="208">
        <v>40360</v>
      </c>
      <c r="C35" s="227">
        <v>1616.17</v>
      </c>
      <c r="D35" s="237">
        <v>1414.66</v>
      </c>
      <c r="E35" s="239">
        <v>1458.03</v>
      </c>
      <c r="F35" s="205" t="s">
        <v>241</v>
      </c>
    </row>
    <row r="36" spans="2:6" ht="12.75" hidden="1">
      <c r="B36" s="208">
        <v>40391</v>
      </c>
      <c r="C36" s="225">
        <v>1616.17</v>
      </c>
      <c r="D36" s="237">
        <v>1414.66</v>
      </c>
      <c r="E36" s="239">
        <v>1458.03</v>
      </c>
      <c r="F36" s="205" t="s">
        <v>242</v>
      </c>
    </row>
    <row r="37" spans="2:6" ht="12.75" hidden="1">
      <c r="B37" s="208">
        <v>40422</v>
      </c>
      <c r="C37" s="225">
        <v>1616.17</v>
      </c>
      <c r="D37" s="237">
        <v>1414.66</v>
      </c>
      <c r="E37" s="239">
        <v>1458.03</v>
      </c>
      <c r="F37" s="204"/>
    </row>
    <row r="38" spans="2:6" ht="12.75" hidden="1">
      <c r="B38" s="208">
        <v>40452</v>
      </c>
      <c r="C38" s="225">
        <v>1616.17</v>
      </c>
      <c r="D38" s="237">
        <v>1414.66</v>
      </c>
      <c r="E38" s="239">
        <v>1458.03</v>
      </c>
      <c r="F38" s="204"/>
    </row>
    <row r="39" spans="2:6" ht="12.75" hidden="1">
      <c r="B39" s="208">
        <v>40483</v>
      </c>
      <c r="C39" s="225">
        <v>1616.17</v>
      </c>
      <c r="D39" s="237">
        <v>1414.66</v>
      </c>
      <c r="E39" s="239">
        <v>1458.03</v>
      </c>
      <c r="F39" s="204"/>
    </row>
    <row r="40" spans="2:6" ht="13.5" hidden="1" thickBot="1">
      <c r="B40" s="220">
        <v>40513</v>
      </c>
      <c r="C40" s="225">
        <v>1414.66</v>
      </c>
      <c r="D40" s="261"/>
      <c r="E40" s="320">
        <v>1458.03</v>
      </c>
      <c r="F40" s="204" t="s">
        <v>243</v>
      </c>
    </row>
    <row r="41" spans="2:6" ht="12.75" hidden="1">
      <c r="B41" s="208">
        <v>40544</v>
      </c>
      <c r="C41" s="225">
        <v>1414.66</v>
      </c>
      <c r="D41" s="261"/>
      <c r="E41" s="323">
        <v>1403.03</v>
      </c>
      <c r="F41" s="205" t="s">
        <v>244</v>
      </c>
    </row>
    <row r="42" spans="2:6" ht="12.75" hidden="1">
      <c r="B42" s="208">
        <v>40575</v>
      </c>
      <c r="C42" s="225">
        <v>1414.66</v>
      </c>
      <c r="D42" s="261"/>
      <c r="E42" s="323">
        <f>E41</f>
        <v>1403.03</v>
      </c>
      <c r="F42" s="204" t="s">
        <v>245</v>
      </c>
    </row>
    <row r="43" spans="2:6" ht="12.75" hidden="1">
      <c r="B43" s="208">
        <v>40603</v>
      </c>
      <c r="C43" s="225">
        <v>1414.66</v>
      </c>
      <c r="D43" s="206"/>
      <c r="E43" s="323">
        <f aca="true" t="shared" si="0" ref="E43:E52">E42</f>
        <v>1403.03</v>
      </c>
      <c r="F43" s="204"/>
    </row>
    <row r="44" spans="2:6" ht="12.75" hidden="1">
      <c r="B44" s="208">
        <v>40634</v>
      </c>
      <c r="C44" s="225">
        <v>1414.66</v>
      </c>
      <c r="D44" s="206"/>
      <c r="E44" s="323">
        <f t="shared" si="0"/>
        <v>1403.03</v>
      </c>
      <c r="F44" s="204"/>
    </row>
    <row r="45" spans="2:6" ht="12.75" hidden="1">
      <c r="B45" s="208">
        <v>40664</v>
      </c>
      <c r="C45" s="225">
        <v>1414.66</v>
      </c>
      <c r="D45" s="206"/>
      <c r="E45" s="323">
        <f t="shared" si="0"/>
        <v>1403.03</v>
      </c>
      <c r="F45" s="260" t="s">
        <v>228</v>
      </c>
    </row>
    <row r="46" spans="2:6" ht="13.5" hidden="1" thickBot="1">
      <c r="B46" s="208">
        <v>40695</v>
      </c>
      <c r="C46" s="226">
        <v>1414.66</v>
      </c>
      <c r="D46" s="207"/>
      <c r="E46" s="323">
        <f t="shared" si="0"/>
        <v>1403.03</v>
      </c>
      <c r="F46" s="205" t="s">
        <v>262</v>
      </c>
    </row>
    <row r="47" spans="2:6" ht="12.75" hidden="1">
      <c r="B47" s="208">
        <v>40725</v>
      </c>
      <c r="C47" s="325">
        <v>1414.66</v>
      </c>
      <c r="D47" s="329">
        <v>1529.9</v>
      </c>
      <c r="E47" s="323">
        <f t="shared" si="0"/>
        <v>1403.03</v>
      </c>
      <c r="F47" s="204" t="s">
        <v>239</v>
      </c>
    </row>
    <row r="48" spans="2:6" ht="12.75" hidden="1">
      <c r="B48" s="208">
        <v>40756</v>
      </c>
      <c r="C48" s="239">
        <v>1414.66</v>
      </c>
      <c r="D48" s="329">
        <f>D47</f>
        <v>1529.9</v>
      </c>
      <c r="E48" s="323">
        <f t="shared" si="0"/>
        <v>1403.03</v>
      </c>
      <c r="F48" s="204"/>
    </row>
    <row r="49" spans="2:6" ht="12.75" hidden="1">
      <c r="B49" s="208">
        <v>40787</v>
      </c>
      <c r="C49" s="239">
        <v>1414.66</v>
      </c>
      <c r="D49" s="329">
        <f>D48</f>
        <v>1529.9</v>
      </c>
      <c r="E49" s="323">
        <f t="shared" si="0"/>
        <v>1403.03</v>
      </c>
      <c r="F49" s="204"/>
    </row>
    <row r="50" spans="2:6" ht="12.75" hidden="1">
      <c r="B50" s="208">
        <v>40817</v>
      </c>
      <c r="C50" s="239">
        <v>1414.66</v>
      </c>
      <c r="D50" s="329">
        <f>D49</f>
        <v>1529.9</v>
      </c>
      <c r="E50" s="323">
        <f t="shared" si="0"/>
        <v>1403.03</v>
      </c>
      <c r="F50" s="313" t="s">
        <v>263</v>
      </c>
    </row>
    <row r="51" spans="2:6" ht="12.75" hidden="1">
      <c r="B51" s="208">
        <v>40848</v>
      </c>
      <c r="C51" s="239">
        <f>C50</f>
        <v>1414.66</v>
      </c>
      <c r="D51" s="329">
        <f>D50</f>
        <v>1529.9</v>
      </c>
      <c r="E51" s="323">
        <f t="shared" si="0"/>
        <v>1403.03</v>
      </c>
      <c r="F51" s="205" t="s">
        <v>264</v>
      </c>
    </row>
    <row r="52" spans="2:6" ht="13.5" hidden="1" thickBot="1">
      <c r="B52" s="312">
        <v>40878</v>
      </c>
      <c r="C52" s="239">
        <f>C51</f>
        <v>1414.66</v>
      </c>
      <c r="D52" s="329">
        <f>D51</f>
        <v>1529.9</v>
      </c>
      <c r="E52" s="324">
        <f t="shared" si="0"/>
        <v>1403.03</v>
      </c>
      <c r="F52" s="204" t="s">
        <v>240</v>
      </c>
    </row>
    <row r="53" spans="2:6" ht="12.75" hidden="1">
      <c r="B53" s="208">
        <v>40909</v>
      </c>
      <c r="C53" s="239">
        <f>D52</f>
        <v>1529.9</v>
      </c>
      <c r="D53" s="316"/>
      <c r="E53" s="330">
        <v>1510.57</v>
      </c>
      <c r="F53" s="205" t="s">
        <v>265</v>
      </c>
    </row>
    <row r="54" spans="2:5" ht="12.75" hidden="1">
      <c r="B54" s="208">
        <v>40940</v>
      </c>
      <c r="C54" s="239">
        <f>C53</f>
        <v>1529.9</v>
      </c>
      <c r="D54" s="316"/>
      <c r="E54" s="330">
        <f>E53</f>
        <v>1510.57</v>
      </c>
    </row>
    <row r="55" spans="2:5" ht="12.75" hidden="1">
      <c r="B55" s="208">
        <v>40969</v>
      </c>
      <c r="C55" s="239">
        <f>C54</f>
        <v>1529.9</v>
      </c>
      <c r="D55" s="316"/>
      <c r="E55" s="330">
        <f aca="true" t="shared" si="1" ref="E55:E64">E54</f>
        <v>1510.57</v>
      </c>
    </row>
    <row r="56" spans="2:5" ht="12.75" hidden="1">
      <c r="B56" s="337">
        <v>41000</v>
      </c>
      <c r="C56" s="239">
        <f>C55</f>
        <v>1529.9</v>
      </c>
      <c r="D56" s="316"/>
      <c r="E56" s="330">
        <f t="shared" si="1"/>
        <v>1510.57</v>
      </c>
    </row>
    <row r="57" spans="2:6" ht="12.75" hidden="1">
      <c r="B57" s="337">
        <v>41030</v>
      </c>
      <c r="C57" s="239">
        <f>C56</f>
        <v>1529.9</v>
      </c>
      <c r="D57" s="316"/>
      <c r="E57" s="330">
        <f t="shared" si="1"/>
        <v>1510.57</v>
      </c>
      <c r="F57" s="313" t="s">
        <v>272</v>
      </c>
    </row>
    <row r="58" spans="2:6" ht="13.5" hidden="1" thickBot="1">
      <c r="B58" s="337">
        <v>41061</v>
      </c>
      <c r="C58" s="240">
        <f>C57</f>
        <v>1529.9</v>
      </c>
      <c r="D58" s="316"/>
      <c r="E58" s="330">
        <f t="shared" si="1"/>
        <v>1510.57</v>
      </c>
      <c r="F58" s="313" t="s">
        <v>273</v>
      </c>
    </row>
    <row r="59" spans="2:6" ht="12.75" hidden="1">
      <c r="B59" s="338">
        <v>41091</v>
      </c>
      <c r="C59" s="323">
        <v>1446.51</v>
      </c>
      <c r="D59" s="316"/>
      <c r="E59" s="330">
        <f t="shared" si="1"/>
        <v>1510.57</v>
      </c>
      <c r="F59" s="205" t="s">
        <v>271</v>
      </c>
    </row>
    <row r="60" spans="2:6" ht="12.75" hidden="1">
      <c r="B60" s="338">
        <v>41122</v>
      </c>
      <c r="C60" s="323">
        <f>C59</f>
        <v>1446.51</v>
      </c>
      <c r="D60" s="316"/>
      <c r="E60" s="330">
        <f t="shared" si="1"/>
        <v>1510.57</v>
      </c>
      <c r="F60" s="205" t="s">
        <v>266</v>
      </c>
    </row>
    <row r="61" spans="2:5" ht="12.75" hidden="1">
      <c r="B61" s="338">
        <v>41153</v>
      </c>
      <c r="C61" s="323">
        <f aca="true" t="shared" si="2" ref="C61:C70">C60</f>
        <v>1446.51</v>
      </c>
      <c r="D61" s="316"/>
      <c r="E61" s="330">
        <f t="shared" si="1"/>
        <v>1510.57</v>
      </c>
    </row>
    <row r="62" spans="2:5" ht="12.75" hidden="1">
      <c r="B62" s="338">
        <v>41183</v>
      </c>
      <c r="C62" s="323">
        <f t="shared" si="2"/>
        <v>1446.51</v>
      </c>
      <c r="D62" s="316"/>
      <c r="E62" s="330">
        <f t="shared" si="1"/>
        <v>1510.57</v>
      </c>
    </row>
    <row r="63" spans="2:6" ht="12.75" hidden="1">
      <c r="B63" s="338">
        <v>41214</v>
      </c>
      <c r="C63" s="323">
        <f t="shared" si="2"/>
        <v>1446.51</v>
      </c>
      <c r="D63" s="316"/>
      <c r="E63" s="330">
        <f t="shared" si="1"/>
        <v>1510.57</v>
      </c>
      <c r="F63" s="336" t="s">
        <v>326</v>
      </c>
    </row>
    <row r="64" spans="2:6" ht="13.5" hidden="1" thickBot="1">
      <c r="B64" s="339">
        <v>41244</v>
      </c>
      <c r="C64" s="323">
        <f t="shared" si="2"/>
        <v>1446.51</v>
      </c>
      <c r="D64" s="316"/>
      <c r="E64" s="330">
        <f t="shared" si="1"/>
        <v>1510.57</v>
      </c>
      <c r="F64" s="336" t="s">
        <v>325</v>
      </c>
    </row>
    <row r="65" spans="2:5" ht="12.75" hidden="1">
      <c r="B65" s="338">
        <v>41275</v>
      </c>
      <c r="C65" s="323">
        <f t="shared" si="2"/>
        <v>1446.51</v>
      </c>
      <c r="D65" s="167"/>
      <c r="E65" s="344">
        <v>1491.39</v>
      </c>
    </row>
    <row r="66" spans="2:5" ht="12.75" hidden="1">
      <c r="B66" s="338">
        <v>41306</v>
      </c>
      <c r="C66" s="323">
        <f t="shared" si="2"/>
        <v>1446.51</v>
      </c>
      <c r="D66" s="167"/>
      <c r="E66" s="345">
        <f>E65</f>
        <v>1491.39</v>
      </c>
    </row>
    <row r="67" spans="2:5" ht="12.75" hidden="1">
      <c r="B67" s="338">
        <v>41334</v>
      </c>
      <c r="C67" s="323">
        <f t="shared" si="2"/>
        <v>1446.51</v>
      </c>
      <c r="D67" s="167"/>
      <c r="E67" s="345">
        <f aca="true" t="shared" si="3" ref="E67:E76">E66</f>
        <v>1491.39</v>
      </c>
    </row>
    <row r="68" spans="2:5" ht="12.75" hidden="1">
      <c r="B68" s="338">
        <v>41365</v>
      </c>
      <c r="C68" s="323">
        <f t="shared" si="2"/>
        <v>1446.51</v>
      </c>
      <c r="D68" s="167"/>
      <c r="E68" s="345">
        <f t="shared" si="3"/>
        <v>1491.39</v>
      </c>
    </row>
    <row r="69" spans="2:5" ht="12.75" hidden="1">
      <c r="B69" s="338">
        <v>41395</v>
      </c>
      <c r="C69" s="323">
        <f t="shared" si="2"/>
        <v>1446.51</v>
      </c>
      <c r="D69" s="167"/>
      <c r="E69" s="345">
        <f t="shared" si="3"/>
        <v>1491.39</v>
      </c>
    </row>
    <row r="70" spans="2:5" ht="13.5" hidden="1" thickBot="1">
      <c r="B70" s="338">
        <v>41426</v>
      </c>
      <c r="C70" s="324">
        <f t="shared" si="2"/>
        <v>1446.51</v>
      </c>
      <c r="D70" s="167"/>
      <c r="E70" s="345">
        <f t="shared" si="3"/>
        <v>1491.39</v>
      </c>
    </row>
    <row r="71" spans="2:5" ht="12.75" hidden="1">
      <c r="B71" s="338">
        <v>41456</v>
      </c>
      <c r="C71" s="326">
        <v>1586.22</v>
      </c>
      <c r="D71" s="167"/>
      <c r="E71" s="345">
        <f t="shared" si="3"/>
        <v>1491.39</v>
      </c>
    </row>
    <row r="72" spans="2:5" ht="12.75" hidden="1">
      <c r="B72" s="338">
        <v>41487</v>
      </c>
      <c r="C72" s="319">
        <f>C71</f>
        <v>1586.22</v>
      </c>
      <c r="D72" s="167"/>
      <c r="E72" s="345">
        <f t="shared" si="3"/>
        <v>1491.39</v>
      </c>
    </row>
    <row r="73" spans="2:5" ht="12.75" hidden="1">
      <c r="B73" s="338">
        <v>41518</v>
      </c>
      <c r="C73" s="319">
        <f aca="true" t="shared" si="4" ref="C73:C82">C72</f>
        <v>1586.22</v>
      </c>
      <c r="D73" s="167"/>
      <c r="E73" s="345">
        <f t="shared" si="3"/>
        <v>1491.39</v>
      </c>
    </row>
    <row r="74" spans="2:5" ht="12.75" hidden="1">
      <c r="B74" s="338">
        <v>41548</v>
      </c>
      <c r="C74" s="319">
        <f t="shared" si="4"/>
        <v>1586.22</v>
      </c>
      <c r="D74" s="167"/>
      <c r="E74" s="345">
        <f t="shared" si="3"/>
        <v>1491.39</v>
      </c>
    </row>
    <row r="75" spans="2:6" ht="12.75" hidden="1">
      <c r="B75" s="338">
        <v>41579</v>
      </c>
      <c r="C75" s="319">
        <f t="shared" si="4"/>
        <v>1586.22</v>
      </c>
      <c r="D75" s="167"/>
      <c r="E75" s="345">
        <f t="shared" si="3"/>
        <v>1491.39</v>
      </c>
      <c r="F75" s="335" t="s">
        <v>327</v>
      </c>
    </row>
    <row r="76" spans="2:6" ht="13.5" hidden="1" thickBot="1">
      <c r="B76" s="339">
        <v>41609</v>
      </c>
      <c r="C76" s="319">
        <f t="shared" si="4"/>
        <v>1586.22</v>
      </c>
      <c r="D76" s="167"/>
      <c r="E76" s="346">
        <f t="shared" si="3"/>
        <v>1491.39</v>
      </c>
      <c r="F76" s="335" t="s">
        <v>328</v>
      </c>
    </row>
    <row r="77" spans="2:5" ht="12.75" hidden="1">
      <c r="B77" s="338">
        <v>41640</v>
      </c>
      <c r="C77" s="319">
        <f t="shared" si="4"/>
        <v>1586.22</v>
      </c>
      <c r="D77" s="316"/>
      <c r="E77" s="342">
        <v>1541.29</v>
      </c>
    </row>
    <row r="78" spans="2:5" ht="12.75" hidden="1">
      <c r="B78" s="338">
        <v>41671</v>
      </c>
      <c r="C78" s="319">
        <f t="shared" si="4"/>
        <v>1586.22</v>
      </c>
      <c r="D78" s="316"/>
      <c r="E78" s="342">
        <f>E77</f>
        <v>1541.29</v>
      </c>
    </row>
    <row r="79" spans="2:5" ht="12.75" hidden="1">
      <c r="B79" s="338">
        <v>41699</v>
      </c>
      <c r="C79" s="319">
        <f t="shared" si="4"/>
        <v>1586.22</v>
      </c>
      <c r="D79" s="316"/>
      <c r="E79" s="342">
        <f aca="true" t="shared" si="5" ref="E79:E88">E78</f>
        <v>1541.29</v>
      </c>
    </row>
    <row r="80" spans="2:5" ht="12.75" hidden="1">
      <c r="B80" s="338">
        <v>41730</v>
      </c>
      <c r="C80" s="319">
        <f t="shared" si="4"/>
        <v>1586.22</v>
      </c>
      <c r="D80" s="316"/>
      <c r="E80" s="342">
        <f t="shared" si="5"/>
        <v>1541.29</v>
      </c>
    </row>
    <row r="81" spans="2:5" ht="12.75" hidden="1">
      <c r="B81" s="338">
        <v>41760</v>
      </c>
      <c r="C81" s="319">
        <f t="shared" si="4"/>
        <v>1586.22</v>
      </c>
      <c r="D81" s="316"/>
      <c r="E81" s="342">
        <f t="shared" si="5"/>
        <v>1541.29</v>
      </c>
    </row>
    <row r="82" spans="2:5" ht="13.5" hidden="1" thickBot="1">
      <c r="B82" s="338">
        <v>41791</v>
      </c>
      <c r="C82" s="321">
        <f t="shared" si="4"/>
        <v>1586.22</v>
      </c>
      <c r="D82" s="316"/>
      <c r="E82" s="342">
        <f t="shared" si="5"/>
        <v>1541.29</v>
      </c>
    </row>
    <row r="83" spans="2:5" ht="12.75" hidden="1">
      <c r="B83" s="314">
        <v>41821</v>
      </c>
      <c r="C83" s="333">
        <v>1586.06</v>
      </c>
      <c r="D83" s="316"/>
      <c r="E83" s="342">
        <f t="shared" si="5"/>
        <v>1541.29</v>
      </c>
    </row>
    <row r="84" spans="2:5" ht="12.75" hidden="1">
      <c r="B84" s="314">
        <v>41852</v>
      </c>
      <c r="C84" s="332">
        <f>C83</f>
        <v>1586.06</v>
      </c>
      <c r="D84" s="316"/>
      <c r="E84" s="342">
        <f t="shared" si="5"/>
        <v>1541.29</v>
      </c>
    </row>
    <row r="85" spans="2:5" ht="12.75" hidden="1">
      <c r="B85" s="314">
        <v>41883</v>
      </c>
      <c r="C85" s="332">
        <f aca="true" t="shared" si="6" ref="C85:C94">C84</f>
        <v>1586.06</v>
      </c>
      <c r="D85" s="316"/>
      <c r="E85" s="342">
        <f t="shared" si="5"/>
        <v>1541.29</v>
      </c>
    </row>
    <row r="86" spans="2:5" ht="12.75" hidden="1">
      <c r="B86" s="314">
        <v>41913</v>
      </c>
      <c r="C86" s="332">
        <f t="shared" si="6"/>
        <v>1586.06</v>
      </c>
      <c r="D86" s="316"/>
      <c r="E86" s="342">
        <f t="shared" si="5"/>
        <v>1541.29</v>
      </c>
    </row>
    <row r="87" spans="2:5" ht="12.75" hidden="1">
      <c r="B87" s="314">
        <v>41944</v>
      </c>
      <c r="C87" s="332">
        <f t="shared" si="6"/>
        <v>1586.06</v>
      </c>
      <c r="D87" s="316"/>
      <c r="E87" s="342">
        <f t="shared" si="5"/>
        <v>1541.29</v>
      </c>
    </row>
    <row r="88" spans="2:6" ht="13.5" hidden="1" thickBot="1">
      <c r="B88" s="315">
        <v>41974</v>
      </c>
      <c r="C88" s="332">
        <f t="shared" si="6"/>
        <v>1586.06</v>
      </c>
      <c r="D88" s="316"/>
      <c r="E88" s="343">
        <f t="shared" si="5"/>
        <v>1541.29</v>
      </c>
      <c r="F88" s="167"/>
    </row>
    <row r="89" spans="2:5" ht="12.75">
      <c r="B89" s="314">
        <v>42005</v>
      </c>
      <c r="C89" s="332">
        <f t="shared" si="6"/>
        <v>1586.06</v>
      </c>
      <c r="D89" s="316"/>
      <c r="E89" s="353">
        <v>1572.65</v>
      </c>
    </row>
    <row r="90" spans="2:5" ht="12.75">
      <c r="B90" s="314">
        <v>42036</v>
      </c>
      <c r="C90" s="332">
        <f t="shared" si="6"/>
        <v>1586.06</v>
      </c>
      <c r="D90" s="316"/>
      <c r="E90" s="353">
        <f>E89</f>
        <v>1572.65</v>
      </c>
    </row>
    <row r="91" spans="2:5" ht="12.75">
      <c r="B91" s="314">
        <v>42064</v>
      </c>
      <c r="C91" s="332">
        <f t="shared" si="6"/>
        <v>1586.06</v>
      </c>
      <c r="D91" s="316"/>
      <c r="E91" s="353">
        <f aca="true" t="shared" si="7" ref="E91:E100">E90</f>
        <v>1572.65</v>
      </c>
    </row>
    <row r="92" spans="2:5" ht="12.75">
      <c r="B92" s="314">
        <v>42095</v>
      </c>
      <c r="C92" s="332">
        <f t="shared" si="6"/>
        <v>1586.06</v>
      </c>
      <c r="D92" s="316"/>
      <c r="E92" s="353">
        <f t="shared" si="7"/>
        <v>1572.65</v>
      </c>
    </row>
    <row r="93" spans="2:5" ht="12.75">
      <c r="B93" s="314">
        <v>42125</v>
      </c>
      <c r="C93" s="332">
        <f t="shared" si="6"/>
        <v>1586.06</v>
      </c>
      <c r="D93" s="316"/>
      <c r="E93" s="353">
        <f t="shared" si="7"/>
        <v>1572.65</v>
      </c>
    </row>
    <row r="94" spans="2:5" ht="13.5" thickBot="1">
      <c r="B94" s="314">
        <v>42156</v>
      </c>
      <c r="C94" s="334">
        <f t="shared" si="6"/>
        <v>1586.06</v>
      </c>
      <c r="D94" s="316"/>
      <c r="E94" s="353">
        <f t="shared" si="7"/>
        <v>1572.65</v>
      </c>
    </row>
    <row r="95" spans="2:5" ht="12.75">
      <c r="B95" s="314">
        <v>42186</v>
      </c>
      <c r="C95" s="341">
        <v>1566.72</v>
      </c>
      <c r="D95" s="316"/>
      <c r="E95" s="353">
        <f t="shared" si="7"/>
        <v>1572.65</v>
      </c>
    </row>
    <row r="96" spans="2:5" ht="12.75">
      <c r="B96" s="314">
        <v>42217</v>
      </c>
      <c r="C96" s="341">
        <f>C95</f>
        <v>1566.72</v>
      </c>
      <c r="D96" s="316"/>
      <c r="E96" s="353">
        <f t="shared" si="7"/>
        <v>1572.65</v>
      </c>
    </row>
    <row r="97" spans="2:5" ht="12.75">
      <c r="B97" s="314">
        <v>42248</v>
      </c>
      <c r="C97" s="341">
        <f aca="true" t="shared" si="8" ref="C97:C106">C96</f>
        <v>1566.72</v>
      </c>
      <c r="D97" s="316"/>
      <c r="E97" s="353">
        <f t="shared" si="7"/>
        <v>1572.65</v>
      </c>
    </row>
    <row r="98" spans="2:5" ht="12.75">
      <c r="B98" s="314">
        <v>42278</v>
      </c>
      <c r="C98" s="341">
        <f t="shared" si="8"/>
        <v>1566.72</v>
      </c>
      <c r="D98" s="316"/>
      <c r="E98" s="353">
        <f t="shared" si="7"/>
        <v>1572.65</v>
      </c>
    </row>
    <row r="99" spans="2:5" ht="12.75">
      <c r="B99" s="314">
        <v>42309</v>
      </c>
      <c r="C99" s="341">
        <f t="shared" si="8"/>
        <v>1566.72</v>
      </c>
      <c r="D99" s="316"/>
      <c r="E99" s="353">
        <f t="shared" si="7"/>
        <v>1572.65</v>
      </c>
    </row>
    <row r="100" spans="2:5" ht="13.5" thickBot="1">
      <c r="B100" s="315">
        <v>42339</v>
      </c>
      <c r="C100" s="341">
        <f t="shared" si="8"/>
        <v>1566.72</v>
      </c>
      <c r="D100" s="316"/>
      <c r="E100" s="354">
        <f t="shared" si="7"/>
        <v>1572.65</v>
      </c>
    </row>
    <row r="101" spans="2:5" ht="12.75">
      <c r="B101" s="314">
        <v>42370</v>
      </c>
      <c r="C101" s="341">
        <f t="shared" si="8"/>
        <v>1566.72</v>
      </c>
      <c r="D101" s="316"/>
      <c r="E101" s="356">
        <f>+'[1]Trued-Up Zonal Rates'!$I$33</f>
        <v>1652.23</v>
      </c>
    </row>
    <row r="102" spans="2:5" ht="12.75">
      <c r="B102" s="314">
        <v>42401</v>
      </c>
      <c r="C102" s="341">
        <f t="shared" si="8"/>
        <v>1566.72</v>
      </c>
      <c r="D102" s="316"/>
      <c r="E102" s="356">
        <f>+'[1]Trued-Up Zonal Rates'!$I$33</f>
        <v>1652.23</v>
      </c>
    </row>
    <row r="103" spans="2:5" ht="12.75">
      <c r="B103" s="314">
        <v>42430</v>
      </c>
      <c r="C103" s="341">
        <f t="shared" si="8"/>
        <v>1566.72</v>
      </c>
      <c r="D103" s="316"/>
      <c r="E103" s="356">
        <f>+'[1]Trued-Up Zonal Rates'!$I$33</f>
        <v>1652.23</v>
      </c>
    </row>
    <row r="104" spans="2:5" ht="12.75">
      <c r="B104" s="314">
        <v>42461</v>
      </c>
      <c r="C104" s="341">
        <f t="shared" si="8"/>
        <v>1566.72</v>
      </c>
      <c r="D104" s="316"/>
      <c r="E104" s="356">
        <f>+'[1]Trued-Up Zonal Rates'!$I$33</f>
        <v>1652.23</v>
      </c>
    </row>
    <row r="105" spans="2:5" ht="12.75">
      <c r="B105" s="314">
        <v>42491</v>
      </c>
      <c r="C105" s="341">
        <f t="shared" si="8"/>
        <v>1566.72</v>
      </c>
      <c r="D105" s="316"/>
      <c r="E105" s="356">
        <f>+'[1]Trued-Up Zonal Rates'!$I$33</f>
        <v>1652.23</v>
      </c>
    </row>
    <row r="106" spans="2:5" ht="12.75">
      <c r="B106" s="314">
        <v>42522</v>
      </c>
      <c r="C106" s="355">
        <f t="shared" si="8"/>
        <v>1566.72</v>
      </c>
      <c r="D106" s="316"/>
      <c r="E106" s="356">
        <f>+'[1]Trued-Up Zonal Rates'!$I$33</f>
        <v>1652.23</v>
      </c>
    </row>
    <row r="107" spans="2:5" ht="12.75">
      <c r="B107" s="314">
        <v>42552</v>
      </c>
      <c r="C107" s="356">
        <v>1623.7</v>
      </c>
      <c r="D107" s="316"/>
      <c r="E107" s="356">
        <f>+'[1]Trued-Up Zonal Rates'!$I$33</f>
        <v>1652.23</v>
      </c>
    </row>
    <row r="108" spans="2:5" ht="12.75">
      <c r="B108" s="314">
        <v>42583</v>
      </c>
      <c r="C108" s="356">
        <f>C107</f>
        <v>1623.7</v>
      </c>
      <c r="D108" s="316"/>
      <c r="E108" s="356">
        <f>+'[1]Trued-Up Zonal Rates'!$I$33</f>
        <v>1652.23</v>
      </c>
    </row>
    <row r="109" spans="2:5" ht="12.75">
      <c r="B109" s="314">
        <v>42614</v>
      </c>
      <c r="C109" s="356">
        <f aca="true" t="shared" si="9" ref="C109:C118">C108</f>
        <v>1623.7</v>
      </c>
      <c r="D109" s="316"/>
      <c r="E109" s="356">
        <f>+'[1]Trued-Up Zonal Rates'!$I$33</f>
        <v>1652.23</v>
      </c>
    </row>
    <row r="110" spans="2:5" ht="12.75">
      <c r="B110" s="314">
        <v>42644</v>
      </c>
      <c r="C110" s="356">
        <f t="shared" si="9"/>
        <v>1623.7</v>
      </c>
      <c r="D110" s="316"/>
      <c r="E110" s="356">
        <f>+'[1]Trued-Up Zonal Rates'!$I$33</f>
        <v>1652.23</v>
      </c>
    </row>
    <row r="111" spans="2:5" ht="12.75">
      <c r="B111" s="314">
        <v>42675</v>
      </c>
      <c r="C111" s="356">
        <f t="shared" si="9"/>
        <v>1623.7</v>
      </c>
      <c r="D111" s="316"/>
      <c r="E111" s="356">
        <f>+'[1]Trued-Up Zonal Rates'!$I$33</f>
        <v>1652.23</v>
      </c>
    </row>
    <row r="112" spans="2:5" ht="13.5" thickBot="1">
      <c r="B112" s="315">
        <v>42705</v>
      </c>
      <c r="C112" s="356">
        <f t="shared" si="9"/>
        <v>1623.7</v>
      </c>
      <c r="D112" s="316"/>
      <c r="E112" s="356">
        <f>+'[1]Trued-Up Zonal Rates'!$I$33</f>
        <v>1652.23</v>
      </c>
    </row>
    <row r="113" spans="2:5" ht="12.75">
      <c r="B113" s="314">
        <v>42736</v>
      </c>
      <c r="C113" s="356">
        <f t="shared" si="9"/>
        <v>1623.7</v>
      </c>
      <c r="D113" s="316"/>
      <c r="E113" s="385">
        <f>+'[2]Trued-Up Zonal Rates'!$I$33</f>
        <v>1666.38</v>
      </c>
    </row>
    <row r="114" spans="2:5" ht="12.75">
      <c r="B114" s="314">
        <v>42767</v>
      </c>
      <c r="C114" s="356">
        <f t="shared" si="9"/>
        <v>1623.7</v>
      </c>
      <c r="D114" s="316"/>
      <c r="E114" s="385">
        <f>+'[2]Trued-Up Zonal Rates'!$I$33</f>
        <v>1666.38</v>
      </c>
    </row>
    <row r="115" spans="2:5" ht="12.75">
      <c r="B115" s="314">
        <v>42795</v>
      </c>
      <c r="C115" s="356">
        <f t="shared" si="9"/>
        <v>1623.7</v>
      </c>
      <c r="D115" s="316"/>
      <c r="E115" s="385">
        <f>+'[2]Trued-Up Zonal Rates'!$I$33</f>
        <v>1666.38</v>
      </c>
    </row>
    <row r="116" spans="2:5" ht="12.75">
      <c r="B116" s="314">
        <v>42826</v>
      </c>
      <c r="C116" s="356">
        <f t="shared" si="9"/>
        <v>1623.7</v>
      </c>
      <c r="D116" s="316"/>
      <c r="E116" s="385">
        <f>+'[2]Trued-Up Zonal Rates'!$I$33</f>
        <v>1666.38</v>
      </c>
    </row>
    <row r="117" spans="2:5" ht="12.75">
      <c r="B117" s="314">
        <v>42856</v>
      </c>
      <c r="C117" s="356">
        <f t="shared" si="9"/>
        <v>1623.7</v>
      </c>
      <c r="D117" s="316"/>
      <c r="E117" s="385">
        <f>+'[2]Trued-Up Zonal Rates'!$I$33</f>
        <v>1666.38</v>
      </c>
    </row>
    <row r="118" spans="2:5" ht="12.75">
      <c r="B118" s="314">
        <v>42887</v>
      </c>
      <c r="C118" s="357">
        <f t="shared" si="9"/>
        <v>1623.7</v>
      </c>
      <c r="D118" s="316"/>
      <c r="E118" s="385">
        <f>+'[2]Trued-Up Zonal Rates'!$I$33</f>
        <v>1666.38</v>
      </c>
    </row>
    <row r="119" spans="2:5" ht="12.75">
      <c r="B119" s="314">
        <v>42917</v>
      </c>
      <c r="C119" s="380">
        <f>+'[1]Projected Zonal Rates'!$I$33</f>
        <v>1651.41</v>
      </c>
      <c r="D119" s="316"/>
      <c r="E119" s="385">
        <f>+'[2]Trued-Up Zonal Rates'!$I$33</f>
        <v>1666.38</v>
      </c>
    </row>
    <row r="120" spans="2:5" ht="12.75">
      <c r="B120" s="314">
        <v>42948</v>
      </c>
      <c r="C120" s="380">
        <f>+C119</f>
        <v>1651.41</v>
      </c>
      <c r="D120" s="316"/>
      <c r="E120" s="385">
        <f>+'[2]Trued-Up Zonal Rates'!$I$33</f>
        <v>1666.38</v>
      </c>
    </row>
    <row r="121" spans="2:5" ht="12.75">
      <c r="B121" s="314">
        <v>42979</v>
      </c>
      <c r="C121" s="380">
        <f aca="true" t="shared" si="10" ref="C121:C130">+C120</f>
        <v>1651.41</v>
      </c>
      <c r="D121" s="316"/>
      <c r="E121" s="385">
        <f>+'[2]Trued-Up Zonal Rates'!$I$33</f>
        <v>1666.38</v>
      </c>
    </row>
    <row r="122" spans="2:5" ht="12.75">
      <c r="B122" s="314">
        <v>43009</v>
      </c>
      <c r="C122" s="380">
        <f t="shared" si="10"/>
        <v>1651.41</v>
      </c>
      <c r="D122" s="316"/>
      <c r="E122" s="385">
        <f>+'[2]Trued-Up Zonal Rates'!$I$33</f>
        <v>1666.38</v>
      </c>
    </row>
    <row r="123" spans="2:5" ht="12.75">
      <c r="B123" s="314">
        <v>43040</v>
      </c>
      <c r="C123" s="380">
        <f t="shared" si="10"/>
        <v>1651.41</v>
      </c>
      <c r="D123" s="316"/>
      <c r="E123" s="385">
        <f>+'[2]Trued-Up Zonal Rates'!$I$33</f>
        <v>1666.38</v>
      </c>
    </row>
    <row r="124" spans="2:5" ht="13.5" thickBot="1">
      <c r="B124" s="315">
        <v>43070</v>
      </c>
      <c r="C124" s="380">
        <f t="shared" si="10"/>
        <v>1651.41</v>
      </c>
      <c r="D124" s="316"/>
      <c r="E124" s="385">
        <f>+'[2]Trued-Up Zonal Rates'!$I$33</f>
        <v>1666.38</v>
      </c>
    </row>
    <row r="125" spans="2:5" ht="12.75">
      <c r="B125" s="314">
        <v>43101</v>
      </c>
      <c r="C125" s="380">
        <f t="shared" si="10"/>
        <v>1651.41</v>
      </c>
      <c r="E125" s="381"/>
    </row>
    <row r="126" spans="2:5" ht="12.75">
      <c r="B126" s="314">
        <v>43132</v>
      </c>
      <c r="C126" s="380">
        <f t="shared" si="10"/>
        <v>1651.41</v>
      </c>
      <c r="E126" s="316"/>
    </row>
    <row r="127" spans="2:5" ht="12.75">
      <c r="B127" s="314">
        <v>43160</v>
      </c>
      <c r="C127" s="380">
        <f t="shared" si="10"/>
        <v>1651.41</v>
      </c>
      <c r="E127" s="316"/>
    </row>
    <row r="128" spans="2:5" ht="12.75">
      <c r="B128" s="314">
        <v>43191</v>
      </c>
      <c r="C128" s="380">
        <f t="shared" si="10"/>
        <v>1651.41</v>
      </c>
      <c r="E128" s="316"/>
    </row>
    <row r="129" spans="2:5" ht="12.75">
      <c r="B129" s="314">
        <v>43221</v>
      </c>
      <c r="C129" s="380">
        <f t="shared" si="10"/>
        <v>1651.41</v>
      </c>
      <c r="E129" s="316"/>
    </row>
    <row r="130" spans="2:5" ht="12.75">
      <c r="B130" s="314">
        <v>43252</v>
      </c>
      <c r="C130" s="380">
        <f t="shared" si="10"/>
        <v>1651.41</v>
      </c>
      <c r="E130" s="316"/>
    </row>
    <row r="131" spans="2:5" ht="12.75">
      <c r="B131" s="314">
        <v>43282</v>
      </c>
      <c r="C131" s="380">
        <f>+'[2]Projected Zonal Rates'!$I$33</f>
        <v>1875.86</v>
      </c>
      <c r="E131" s="316"/>
    </row>
    <row r="132" spans="2:5" ht="12.75">
      <c r="B132" s="314">
        <v>43313</v>
      </c>
      <c r="C132" s="387">
        <f>+'[2]Projected Zonal Rates'!$I$33</f>
        <v>1875.86</v>
      </c>
      <c r="E132" s="316"/>
    </row>
    <row r="133" spans="2:5" ht="12.75">
      <c r="B133" s="314">
        <v>43344</v>
      </c>
      <c r="C133" s="387">
        <f>+'[2]Projected Zonal Rates'!$I$33</f>
        <v>1875.86</v>
      </c>
      <c r="E133" s="316"/>
    </row>
    <row r="134" spans="2:5" ht="12.75">
      <c r="B134" s="314">
        <v>43374</v>
      </c>
      <c r="C134" s="387">
        <f>+'[2]Projected Zonal Rates'!$I$33</f>
        <v>1875.86</v>
      </c>
      <c r="E134" s="316"/>
    </row>
    <row r="135" spans="2:5" ht="12.75">
      <c r="B135" s="314">
        <v>43405</v>
      </c>
      <c r="C135" s="387">
        <f>+'[2]Projected Zonal Rates'!$I$33</f>
        <v>1875.86</v>
      </c>
      <c r="E135" s="316"/>
    </row>
    <row r="136" spans="2:5" ht="13.5" thickBot="1">
      <c r="B136" s="314">
        <v>43435</v>
      </c>
      <c r="C136" s="387">
        <f>+'[2]Projected Zonal Rates'!$I$33</f>
        <v>1875.86</v>
      </c>
      <c r="E136" s="317"/>
    </row>
    <row r="137" spans="2:3" ht="12.75">
      <c r="B137" s="314">
        <v>43466</v>
      </c>
      <c r="C137" s="387">
        <f>+'[2]Projected Zonal Rates'!$I$33</f>
        <v>1875.86</v>
      </c>
    </row>
    <row r="138" spans="2:3" ht="12.75">
      <c r="B138" s="314">
        <v>43497</v>
      </c>
      <c r="C138" s="387">
        <f>+'[2]Projected Zonal Rates'!$I$33</f>
        <v>1875.86</v>
      </c>
    </row>
    <row r="139" spans="2:3" ht="12.75">
      <c r="B139" s="314">
        <v>43525</v>
      </c>
      <c r="C139" s="387">
        <f>+'[2]Projected Zonal Rates'!$I$33</f>
        <v>1875.86</v>
      </c>
    </row>
    <row r="140" spans="2:3" ht="12.75">
      <c r="B140" s="314">
        <v>43556</v>
      </c>
      <c r="C140" s="387">
        <f>+'[2]Projected Zonal Rates'!$I$33</f>
        <v>1875.86</v>
      </c>
    </row>
    <row r="141" spans="2:3" ht="12.75">
      <c r="B141" s="314">
        <v>43586</v>
      </c>
      <c r="C141" s="387">
        <f>+'[2]Projected Zonal Rates'!$I$33</f>
        <v>1875.86</v>
      </c>
    </row>
    <row r="142" spans="2:3" ht="12.75">
      <c r="B142" s="314">
        <v>43617</v>
      </c>
      <c r="C142" s="387">
        <f>+'[2]Projected Zonal Rates'!$I$33</f>
        <v>1875.86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85" zoomScaleNormal="85" zoomScaleSheetLayoutView="100" zoomScalePageLayoutView="0" workbookViewId="0" topLeftCell="A22">
      <selection activeCell="E28" sqref="E28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6" t="str">
        <f>+Transactions!B1</f>
        <v>AEP Formula Rate -- FERC Docket ER07-1069</v>
      </c>
      <c r="D1" s="396"/>
      <c r="E1" s="396"/>
      <c r="F1" s="396"/>
      <c r="G1" s="396"/>
      <c r="H1" s="396"/>
      <c r="K1" s="340">
        <v>2017</v>
      </c>
    </row>
    <row r="2" spans="3:8" ht="12.75">
      <c r="C2" s="396" t="s">
        <v>160</v>
      </c>
      <c r="D2" s="396"/>
      <c r="E2" s="396"/>
      <c r="F2" s="396"/>
      <c r="G2" s="396"/>
      <c r="H2" s="396"/>
    </row>
    <row r="3" spans="3:8" ht="12.75">
      <c r="C3" s="396" t="str">
        <f>"for period 01/01/"&amp;F8&amp;" - 12/31/"&amp;F8</f>
        <v>for period 01/01/2017 - 12/31/2017</v>
      </c>
      <c r="D3" s="396"/>
      <c r="E3" s="396"/>
      <c r="F3" s="396"/>
      <c r="G3" s="396"/>
      <c r="H3" s="396"/>
    </row>
    <row r="4" ht="12.75">
      <c r="C4" s="112"/>
    </row>
    <row r="5" spans="3:4" ht="12.75">
      <c r="C5" s="327" t="str">
        <f>"Prepared:  May 23, "&amp;K1+1&amp;""</f>
        <v>Prepared:  May 23, 2018</v>
      </c>
      <c r="D5" s="311"/>
    </row>
    <row r="6" ht="12.75">
      <c r="C6" s="112"/>
    </row>
    <row r="7" ht="12.75">
      <c r="C7" s="5"/>
    </row>
    <row r="8" ht="27.75" customHeight="1" thickBot="1">
      <c r="F8" s="198">
        <f>Transactions!N1</f>
        <v>2017</v>
      </c>
    </row>
    <row r="9" spans="5:11" ht="20.25" customHeight="1">
      <c r="E9" s="241" t="s">
        <v>195</v>
      </c>
      <c r="F9" s="188"/>
      <c r="G9" s="197" t="s">
        <v>165</v>
      </c>
      <c r="K9" s="48"/>
    </row>
    <row r="10" spans="2:7" ht="42" customHeight="1" thickBot="1">
      <c r="B10" s="174"/>
      <c r="E10" s="269" t="str">
        <f>"(per "&amp;$F8-1&amp;" Update of May "&amp;$F8-1&amp;")"</f>
        <v>(per 2016 Update of May 2016)</v>
      </c>
      <c r="F10" s="310" t="str">
        <f>"(per "&amp;F8+1&amp;" Update of May "&amp;F8+1&amp;")"</f>
        <v>(per 2018 Update of May 2018)</v>
      </c>
      <c r="G10" s="270" t="str">
        <f>"(per "&amp;$F8&amp;" Update of July "&amp;F8&amp;")"</f>
        <v>(per 2017 Update of July 2017)</v>
      </c>
    </row>
    <row r="11" spans="2:7" ht="21.75" customHeight="1">
      <c r="B11" s="176"/>
      <c r="C11" s="194" t="s">
        <v>163</v>
      </c>
      <c r="D11" s="193" t="s">
        <v>161</v>
      </c>
      <c r="E11" s="293">
        <f>Transactions!K2</f>
        <v>159986177.63541734</v>
      </c>
      <c r="F11" s="182"/>
      <c r="G11" s="294">
        <f>+Transactions!K7</f>
        <v>161844915.256761</v>
      </c>
    </row>
    <row r="12" spans="2:7" ht="21.75" customHeight="1">
      <c r="B12" s="176"/>
      <c r="C12" s="183"/>
      <c r="D12" s="200" t="s">
        <v>169</v>
      </c>
      <c r="E12" s="189"/>
      <c r="F12" s="181">
        <f>+Transactions!J2</f>
        <v>159352822.19841266</v>
      </c>
      <c r="G12" s="190"/>
    </row>
    <row r="13" spans="2:7" ht="21.75" customHeight="1">
      <c r="B13" s="175"/>
      <c r="C13" s="195" t="s">
        <v>164</v>
      </c>
      <c r="D13" s="192" t="s">
        <v>162</v>
      </c>
      <c r="E13" s="295">
        <f>Transactions!K3</f>
        <v>1623.7</v>
      </c>
      <c r="F13" s="296"/>
      <c r="G13" s="297">
        <f>+Transactions!K8</f>
        <v>1651.41</v>
      </c>
    </row>
    <row r="14" spans="2:7" ht="21.75" customHeight="1" thickBot="1">
      <c r="B14" s="174"/>
      <c r="C14" s="184"/>
      <c r="D14" s="199" t="s">
        <v>168</v>
      </c>
      <c r="E14" s="185"/>
      <c r="F14" s="267">
        <f>+Transactions!J3</f>
        <v>1666.38</v>
      </c>
      <c r="G14" s="186"/>
    </row>
    <row r="15" spans="2:5" ht="12.75">
      <c r="B15" s="176"/>
      <c r="E15" s="146"/>
    </row>
    <row r="16" spans="2:18" ht="12.7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155</v>
      </c>
      <c r="D19" s="179" t="s">
        <v>156</v>
      </c>
      <c r="E19" s="180" t="s">
        <v>157</v>
      </c>
      <c r="F19" s="180" t="s">
        <v>158</v>
      </c>
      <c r="G19" s="179" t="s">
        <v>159</v>
      </c>
      <c r="H19" s="180" t="s">
        <v>167</v>
      </c>
      <c r="M19" s="13"/>
      <c r="N19" s="166"/>
      <c r="O19" s="166"/>
      <c r="P19" s="166"/>
      <c r="Q19" s="166"/>
      <c r="R19" s="166"/>
    </row>
    <row r="20" spans="3:18" ht="53.25" customHeight="1">
      <c r="C20" s="254" t="s">
        <v>212</v>
      </c>
      <c r="D20" s="171" t="str">
        <f>"Actual Charge
("&amp;F8&amp;" True-Up)"</f>
        <v>Actual Charge
(2017 True-Up)</v>
      </c>
      <c r="E20" s="172" t="str">
        <f>"Invoiced for
CY"&amp;F8&amp;" Transmission Service"</f>
        <v>Invoiced for
CY2017 Transmission Service</v>
      </c>
      <c r="F20" s="171" t="s">
        <v>166</v>
      </c>
      <c r="G20" s="173" t="s">
        <v>115</v>
      </c>
      <c r="H20" s="196" t="s">
        <v>191</v>
      </c>
      <c r="M20" s="13"/>
      <c r="N20" s="166"/>
      <c r="O20" s="166"/>
      <c r="P20" s="166"/>
      <c r="Q20" s="166"/>
      <c r="R20" s="166"/>
    </row>
    <row r="21" spans="2:18" ht="12.75">
      <c r="B21" s="236"/>
      <c r="C21" s="167" t="s">
        <v>136</v>
      </c>
      <c r="D21" s="168">
        <f>GETPIVOTDATA("Sum of "&amp;T(Transactions!$J$19),Pivot!$A$3,"Customer",C21)</f>
        <v>13563957.96</v>
      </c>
      <c r="E21" s="168">
        <f>GETPIVOTDATA("Sum of "&amp;T(Transactions!$K$19),Pivot!$A$3,"Customer",C21)</f>
        <v>13340831.260000002</v>
      </c>
      <c r="F21" s="168">
        <f>D21-E21</f>
        <v>223126.69999999925</v>
      </c>
      <c r="G21" s="166">
        <f>+GETPIVOTDATA("Sum of "&amp;T(Transactions!$M$19),Pivot!$A$3,"Customer","AECC")</f>
        <v>9116.414891586219</v>
      </c>
      <c r="H21" s="169">
        <f>F21+G21</f>
        <v>232243.1148915855</v>
      </c>
      <c r="J21" s="363"/>
      <c r="K21" s="236"/>
      <c r="M21" s="13"/>
      <c r="N21" s="166"/>
      <c r="O21" s="166"/>
      <c r="P21" s="166"/>
      <c r="Q21" s="166"/>
      <c r="R21" s="166"/>
    </row>
    <row r="22" spans="2:18" ht="12.75">
      <c r="B22" s="236"/>
      <c r="C22" s="167" t="s">
        <v>380</v>
      </c>
      <c r="D22" s="168">
        <f>GETPIVOTDATA("Sum of "&amp;T(Transactions!$J$19),Pivot!$A$3,"Customer",C22)</f>
        <v>746242.56</v>
      </c>
      <c r="E22" s="168">
        <f>GETPIVOTDATA("Sum of "&amp;T(Transactions!$K$19),Pivot!$A$3,"Customer",C22)</f>
        <v>733984.8700000001</v>
      </c>
      <c r="F22" s="168">
        <f>D22-E22</f>
        <v>12257.689999999944</v>
      </c>
      <c r="G22" s="166">
        <f>+GETPIVOTDATA("Sum of "&amp;T(Transactions!$M$19),Pivot!$A$3,"Customer","AECC")</f>
        <v>9116.414891586219</v>
      </c>
      <c r="H22" s="169">
        <f>F22+G22</f>
        <v>21374.10489158616</v>
      </c>
      <c r="J22" s="363"/>
      <c r="K22" s="236"/>
      <c r="M22" s="13"/>
      <c r="N22" s="166"/>
      <c r="O22" s="166"/>
      <c r="P22" s="166"/>
      <c r="Q22" s="166"/>
      <c r="R22" s="166"/>
    </row>
    <row r="23" spans="2:18" ht="12.75">
      <c r="B23" s="236"/>
      <c r="C23" s="187" t="s">
        <v>218</v>
      </c>
      <c r="D23" s="168">
        <f>GETPIVOTDATA("Sum of "&amp;T(Transactions!$J$19),Pivot!$A$3,"Customer",C23)</f>
        <v>2288699.2800000003</v>
      </c>
      <c r="E23" s="168">
        <f>GETPIVOTDATA("Sum of "&amp;T(Transactions!$K$19),Pivot!$A$3,"Customer",C23)</f>
        <v>2251496.91</v>
      </c>
      <c r="F23" s="168">
        <f aca="true" t="shared" si="0" ref="F23:F35">D23-E23</f>
        <v>37202.37000000011</v>
      </c>
      <c r="G23" s="166">
        <f>+GETPIVOTDATA("Sum of "&amp;T(Transactions!$M$19),Pivot!$A$3,"Customer","Bentonville, AR")</f>
        <v>1499.5337701538017</v>
      </c>
      <c r="H23" s="169">
        <f aca="true" t="shared" si="1" ref="H23:H35">F23+G23</f>
        <v>38701.90377015391</v>
      </c>
      <c r="J23" s="363"/>
      <c r="K23" s="236"/>
      <c r="M23" s="13"/>
      <c r="N23" s="166"/>
      <c r="O23" s="166"/>
      <c r="P23" s="166"/>
      <c r="Q23" s="166"/>
      <c r="R23" s="166"/>
    </row>
    <row r="24" spans="2:18" ht="12.75">
      <c r="B24" s="236"/>
      <c r="C24" s="167" t="s">
        <v>139</v>
      </c>
      <c r="D24" s="168">
        <f>GETPIVOTDATA("Sum of "&amp;T(Transactions!$J$19),Pivot!$A$3,"Customer",C24)</f>
        <v>1943895.2399999998</v>
      </c>
      <c r="E24" s="168">
        <f>GETPIVOTDATA("Sum of "&amp;T(Transactions!$K$19),Pivot!$A$3,"Customer",C24)</f>
        <v>1910846.57</v>
      </c>
      <c r="F24" s="168">
        <f t="shared" si="0"/>
        <v>33048.66999999969</v>
      </c>
      <c r="G24" s="166">
        <f>+GETPIVOTDATA("Sum of "&amp;T(Transactions!$M$19),Pivot!$A$3,"Customer","Coffeyville, KS")</f>
        <v>1362.6365425737104</v>
      </c>
      <c r="H24" s="169">
        <f t="shared" si="1"/>
        <v>34411.3065425734</v>
      </c>
      <c r="J24" s="364"/>
      <c r="K24" s="236"/>
      <c r="M24" s="13"/>
      <c r="N24" s="166"/>
      <c r="O24" s="166"/>
      <c r="P24" s="166"/>
      <c r="Q24" s="166"/>
      <c r="R24" s="166"/>
    </row>
    <row r="25" spans="2:18" ht="12.75">
      <c r="B25" s="236"/>
      <c r="C25" s="187" t="s">
        <v>135</v>
      </c>
      <c r="D25" s="168">
        <f>GETPIVOTDATA("Sum of "&amp;T(Transactions!$J$19),Pivot!$A$3,"Customer",C25)</f>
        <v>14711639.040000001</v>
      </c>
      <c r="E25" s="168">
        <f>GETPIVOTDATA("Sum of "&amp;T(Transactions!$K$19),Pivot!$A$3,"Customer",C25)</f>
        <v>14467291.650000002</v>
      </c>
      <c r="F25" s="168">
        <f t="shared" si="0"/>
        <v>244347.38999999873</v>
      </c>
      <c r="G25" s="166">
        <f>+GETPIVOTDATA("Sum of "&amp;T(Transactions!$M$19),Pivot!$A$3,"Customer","ETEC")</f>
        <v>10136.543515008903</v>
      </c>
      <c r="H25" s="169">
        <f t="shared" si="1"/>
        <v>254483.93351500764</v>
      </c>
      <c r="J25" s="364"/>
      <c r="K25" s="236"/>
      <c r="M25" s="30"/>
      <c r="N25" s="166"/>
      <c r="O25" s="166"/>
      <c r="P25" s="166"/>
      <c r="Q25" s="166"/>
      <c r="R25" s="166"/>
    </row>
    <row r="26" spans="2:18" ht="12.75">
      <c r="B26" s="236"/>
      <c r="C26" s="167" t="s">
        <v>137</v>
      </c>
      <c r="D26" s="168">
        <f>GETPIVOTDATA("Sum of "&amp;T(Transactions!$J$19),Pivot!$A$3,"Customer",C26)</f>
        <v>148249.08000000002</v>
      </c>
      <c r="E26" s="168">
        <f>GETPIVOTDATA("Sum of "&amp;T(Transactions!$K$19),Pivot!$A$3,"Customer",C26)</f>
        <v>145839.38</v>
      </c>
      <c r="F26" s="168">
        <f t="shared" si="0"/>
        <v>2409.7000000000116</v>
      </c>
      <c r="G26" s="166">
        <f>+GETPIVOTDATA("Sum of "&amp;T(Transactions!$M$19),Pivot!$A$3,"Customer","Greenbelt")</f>
        <v>96.57965593660941</v>
      </c>
      <c r="H26" s="169">
        <f t="shared" si="1"/>
        <v>2506.279655936621</v>
      </c>
      <c r="J26" s="365"/>
      <c r="K26" s="236"/>
      <c r="L26" s="235"/>
      <c r="M26" s="235"/>
      <c r="N26" s="235"/>
      <c r="O26" s="235"/>
      <c r="P26" s="166"/>
      <c r="Q26" s="166"/>
      <c r="R26" s="166"/>
    </row>
    <row r="27" spans="2:18" ht="12.75">
      <c r="B27" s="236"/>
      <c r="C27" s="167" t="s">
        <v>221</v>
      </c>
      <c r="D27" s="168">
        <f>GETPIVOTDATA("Sum of "&amp;T(Transactions!$J$19),Pivot!$A$3,"Customer",C27)</f>
        <v>862842.96</v>
      </c>
      <c r="E27" s="168">
        <f>GETPIVOTDATA("Sum of "&amp;T(Transactions!$K$19),Pivot!$A$3,"Customer",C27)</f>
        <v>848281.2</v>
      </c>
      <c r="F27" s="168">
        <f t="shared" si="0"/>
        <v>14561.76000000001</v>
      </c>
      <c r="G27" s="166">
        <f>+GETPIVOTDATA("Sum of "&amp;T(Transactions!$M$19),Pivot!$A$3,"Customer","Hope, AR")</f>
        <v>596.2342909820562</v>
      </c>
      <c r="H27" s="169">
        <f t="shared" si="1"/>
        <v>15157.994290982066</v>
      </c>
      <c r="J27" s="365"/>
      <c r="K27" s="236"/>
      <c r="L27" s="235"/>
      <c r="M27" s="235"/>
      <c r="N27" s="235"/>
      <c r="O27" s="235"/>
      <c r="P27" s="166"/>
      <c r="Q27" s="166"/>
      <c r="R27" s="166"/>
    </row>
    <row r="28" spans="2:18" ht="12.75">
      <c r="B28" s="236"/>
      <c r="C28" s="167" t="s">
        <v>138</v>
      </c>
      <c r="D28" s="168">
        <f>GETPIVOTDATA("Sum of "&amp;T(Transactions!$J$19),Pivot!$A$3,"Customer",C28)</f>
        <v>33314.4</v>
      </c>
      <c r="E28" s="168">
        <f>GETPIVOTDATA("Sum of "&amp;T(Transactions!$K$19),Pivot!$A$3,"Customer",C28)</f>
        <v>32778.81</v>
      </c>
      <c r="F28" s="168">
        <f t="shared" si="0"/>
        <v>535.5900000000038</v>
      </c>
      <c r="G28" s="166">
        <f>+GETPIVOTDATA("Sum of "&amp;T(Transactions!$M$19),Pivot!$A$3,"Customer","Lighthouse")</f>
        <v>21.740059825171947</v>
      </c>
      <c r="H28" s="169">
        <f t="shared" si="1"/>
        <v>557.3300598251757</v>
      </c>
      <c r="J28" s="364"/>
      <c r="K28" s="236"/>
      <c r="M28" s="13"/>
      <c r="N28" s="166"/>
      <c r="O28" s="166"/>
      <c r="P28" s="166"/>
      <c r="Q28" s="166"/>
      <c r="R28" s="166"/>
    </row>
    <row r="29" spans="2:18" ht="12.75">
      <c r="B29" s="236"/>
      <c r="C29" s="187" t="s">
        <v>220</v>
      </c>
      <c r="D29" s="168">
        <f>GETPIVOTDATA("Sum of "&amp;T(Transactions!$J$19),Pivot!$A$3,"Customer",C29)</f>
        <v>508044.6</v>
      </c>
      <c r="E29" s="168">
        <f>GETPIVOTDATA("Sum of "&amp;T(Transactions!$K$19),Pivot!$A$3,"Customer",C29)</f>
        <v>499966.91</v>
      </c>
      <c r="F29" s="168">
        <f t="shared" si="0"/>
        <v>8077.690000000002</v>
      </c>
      <c r="G29" s="166">
        <f>+GETPIVOTDATA("Sum of "&amp;T(Transactions!$M$19),Pivot!$A$3,"Customer","Minden, LA")</f>
        <v>322.2690850812358</v>
      </c>
      <c r="H29" s="169">
        <f t="shared" si="1"/>
        <v>8399.959085081238</v>
      </c>
      <c r="J29" s="364"/>
      <c r="K29" s="236"/>
      <c r="M29" s="13"/>
      <c r="N29" s="166"/>
      <c r="O29" s="166"/>
      <c r="P29" s="166"/>
      <c r="Q29" s="166"/>
      <c r="R29" s="166"/>
    </row>
    <row r="30" spans="2:11" ht="12.75">
      <c r="B30" s="236"/>
      <c r="C30" s="187" t="s">
        <v>141</v>
      </c>
      <c r="D30" s="168">
        <f>GETPIVOTDATA("Sum of "&amp;T(Transactions!$J$19),Pivot!$A$3,"Customer",C30)</f>
        <v>366458.4</v>
      </c>
      <c r="E30" s="168">
        <f>GETPIVOTDATA("Sum of "&amp;T(Transactions!$K$19),Pivot!$A$3,"Customer",C30)</f>
        <v>359985</v>
      </c>
      <c r="F30" s="168">
        <f t="shared" si="0"/>
        <v>6473.400000000023</v>
      </c>
      <c r="G30" s="166">
        <f>+GETPIVOTDATA("Sum of "&amp;T(Transactions!$M$19),Pivot!$A$3,"Customer","OG&amp;E")</f>
        <v>268.3873975291356</v>
      </c>
      <c r="H30" s="169">
        <f t="shared" si="1"/>
        <v>6741.787397529159</v>
      </c>
      <c r="J30" s="364"/>
      <c r="K30" s="236"/>
    </row>
    <row r="31" spans="2:11" ht="12.75">
      <c r="B31" s="236"/>
      <c r="C31" s="167" t="s">
        <v>117</v>
      </c>
      <c r="D31" s="168">
        <f>GETPIVOTDATA("Sum of "&amp;T(Transactions!$J$19),Pivot!$A$3,"Customer",C31)</f>
        <v>2055498.4800000002</v>
      </c>
      <c r="E31" s="168">
        <f>GETPIVOTDATA("Sum of "&amp;T(Transactions!$K$19),Pivot!$A$3,"Customer",C31)</f>
        <v>2022017.53</v>
      </c>
      <c r="F31" s="168">
        <f t="shared" si="0"/>
        <v>33480.950000000186</v>
      </c>
      <c r="G31" s="166">
        <f>+GETPIVOTDATA("Sum of "&amp;T(Transactions!$M$19),Pivot!$A$3,"Customer","OMPA")</f>
        <v>1349.684965532694</v>
      </c>
      <c r="H31" s="169">
        <f t="shared" si="1"/>
        <v>34830.63496553288</v>
      </c>
      <c r="J31" s="364"/>
      <c r="K31" s="236"/>
    </row>
    <row r="32" spans="2:11" ht="12.75">
      <c r="B32" s="236"/>
      <c r="C32" s="167" t="s">
        <v>219</v>
      </c>
      <c r="D32" s="168">
        <f>GETPIVOTDATA("Sum of "&amp;T(Transactions!$J$19),Pivot!$A$3,"Customer",C32)</f>
        <v>223206.47999999998</v>
      </c>
      <c r="E32" s="168">
        <f>GETPIVOTDATA("Sum of "&amp;T(Transactions!$K$19),Pivot!$A$3,"Customer",C32)</f>
        <v>219681.76</v>
      </c>
      <c r="F32" s="168">
        <f t="shared" si="0"/>
        <v>3524.719999999972</v>
      </c>
      <c r="G32" s="166">
        <f>+GETPIVOTDATA("Sum of "&amp;T(Transactions!$M$19),Pivot!$A$3,"Customer","Prescott, AR")</f>
        <v>142.55064277918785</v>
      </c>
      <c r="H32" s="169">
        <f t="shared" si="1"/>
        <v>3667.27064277916</v>
      </c>
      <c r="J32" s="364"/>
      <c r="K32" s="236"/>
    </row>
    <row r="33" spans="2:11" ht="12.75">
      <c r="B33" s="236"/>
      <c r="C33" s="170" t="s">
        <v>118</v>
      </c>
      <c r="D33" s="168">
        <f>GETPIVOTDATA("Sum of "&amp;T(Transactions!$J$19),Pivot!$A$3,"Customer",C33)</f>
        <v>706265.28</v>
      </c>
      <c r="E33" s="168">
        <f>GETPIVOTDATA("Sum of "&amp;T(Transactions!$K$19),Pivot!$A$3,"Customer",C33)</f>
        <v>694489.58</v>
      </c>
      <c r="F33" s="168">
        <f t="shared" si="0"/>
        <v>11775.70000000007</v>
      </c>
      <c r="G33" s="166">
        <f>+GETPIVOTDATA("Sum of "&amp;T(Transactions!$M$19),Pivot!$A$3,"Customer","WFEC")</f>
        <v>485.3800819708938</v>
      </c>
      <c r="H33" s="169">
        <f t="shared" si="1"/>
        <v>12261.080081970964</v>
      </c>
      <c r="J33" s="364"/>
      <c r="K33" s="236"/>
    </row>
    <row r="34" spans="3:10" ht="24">
      <c r="C34" s="298" t="s">
        <v>189</v>
      </c>
      <c r="D34" s="299">
        <f>SUM(D21:D33)</f>
        <v>38158313.75999999</v>
      </c>
      <c r="E34" s="299">
        <f>SUM(E21:E33)</f>
        <v>37527491.43</v>
      </c>
      <c r="F34" s="299">
        <f>SUM(F21:F33)</f>
        <v>630822.329999998</v>
      </c>
      <c r="G34" s="300">
        <f>SUM(G21:G33)</f>
        <v>34514.36979054583</v>
      </c>
      <c r="H34" s="301">
        <f>SUM(H21:H33)</f>
        <v>665336.699790544</v>
      </c>
      <c r="J34" s="364"/>
    </row>
    <row r="35" spans="3:10" ht="12.75">
      <c r="C35" s="373" t="s">
        <v>143</v>
      </c>
      <c r="D35" s="168">
        <f>GETPIVOTDATA("Sum of "&amp;T(Transactions!$J$19),Pivot!$A$3,"Customer",C35)</f>
        <v>60800445.72</v>
      </c>
      <c r="E35" s="168">
        <f>GETPIVOTDATA("Sum of "&amp;T(Transactions!$K$19),Pivot!$A$3,"Customer",C35)</f>
        <v>59804774.19</v>
      </c>
      <c r="F35" s="168">
        <f t="shared" si="0"/>
        <v>995671.5300000012</v>
      </c>
      <c r="G35" s="166">
        <f>+GETPIVOTDATA("Sum of "&amp;T(Transactions!$M$19),Pivot!$A$3,"Customer","PSO")</f>
        <v>40276.382385542165</v>
      </c>
      <c r="H35" s="169">
        <f t="shared" si="1"/>
        <v>1035947.9123855433</v>
      </c>
      <c r="I35" s="236"/>
      <c r="J35" s="364"/>
    </row>
    <row r="36" spans="3:10" ht="12.75">
      <c r="C36" s="374" t="s">
        <v>144</v>
      </c>
      <c r="D36" s="168">
        <f>GETPIVOTDATA("Sum of "&amp;T(Transactions!$J$19),Pivot!$A$3,"Customer",C36)</f>
        <v>58008699</v>
      </c>
      <c r="E36" s="168">
        <f>GETPIVOTDATA("Sum of "&amp;T(Transactions!$K$19),Pivot!$A$3,"Customer",C36)</f>
        <v>57056768.260000005</v>
      </c>
      <c r="F36" s="168">
        <f>D36-E36</f>
        <v>951930.7399999946</v>
      </c>
      <c r="G36" s="166">
        <f>+GETPIVOTDATA("Sum of "&amp;T(Transactions!$M$19),Pivot!$A$3,"Customer","SWEPCO")</f>
        <v>38715.980584166566</v>
      </c>
      <c r="H36" s="169">
        <f>F36+G36</f>
        <v>990646.7205841612</v>
      </c>
      <c r="I36" s="236"/>
      <c r="J36" s="364"/>
    </row>
    <row r="37" spans="3:10" ht="12.75">
      <c r="C37" s="375" t="s">
        <v>341</v>
      </c>
      <c r="D37" s="168">
        <f>GETPIVOTDATA("Sum of "&amp;T(Transactions!$J$19),Pivot!$A$3,"Customer",C37)</f>
        <v>2323679.4</v>
      </c>
      <c r="E37" s="168">
        <f>GETPIVOTDATA("Sum of "&amp;T(Transactions!$K$19),Pivot!$A$3,"Customer",C37)</f>
        <v>2285428.35</v>
      </c>
      <c r="F37" s="168">
        <f>D37-E37</f>
        <v>38251.049999999814</v>
      </c>
      <c r="G37" s="166">
        <f>+GETPIVOTDATA("Sum of "&amp;T(Transactions!$M$19),Pivot!$A$3,"Customer","SWEPCO-Valley")</f>
        <v>1578.513826176364</v>
      </c>
      <c r="H37" s="169">
        <f>F37+G37</f>
        <v>39829.56382617618</v>
      </c>
      <c r="J37" s="364"/>
    </row>
    <row r="38" spans="3:10" ht="24">
      <c r="C38" s="256" t="s">
        <v>215</v>
      </c>
      <c r="D38" s="257">
        <f>SUM(D35:D37)</f>
        <v>121132824.12</v>
      </c>
      <c r="E38" s="257">
        <f>SUM(E35:E37)</f>
        <v>119146970.8</v>
      </c>
      <c r="F38" s="257">
        <f>SUM(F35:F37)</f>
        <v>1985853.3199999956</v>
      </c>
      <c r="G38" s="258">
        <f>SUM(G35:G37)</f>
        <v>80570.8767958851</v>
      </c>
      <c r="H38" s="259">
        <f>SUM(H35:H37)</f>
        <v>2066424.1967958806</v>
      </c>
      <c r="J38" s="364"/>
    </row>
    <row r="39" spans="3:10" ht="23.25" customHeight="1" thickBot="1">
      <c r="C39" s="234" t="s">
        <v>190</v>
      </c>
      <c r="D39" s="231">
        <f>SUM(D34,D38)</f>
        <v>159291137.88</v>
      </c>
      <c r="E39" s="232">
        <f>SUM(E34,E38)</f>
        <v>156674462.23</v>
      </c>
      <c r="F39" s="231">
        <f>SUM(F34,F38)</f>
        <v>2616675.649999994</v>
      </c>
      <c r="G39" s="232">
        <f>SUM(G34,G38)</f>
        <v>115085.24658643093</v>
      </c>
      <c r="H39" s="233">
        <f>SUM(H34,H38)</f>
        <v>2731760.8965864247</v>
      </c>
      <c r="J39" s="364"/>
    </row>
    <row r="40" spans="5:7" ht="12.75">
      <c r="E40" s="13"/>
      <c r="F40" s="13"/>
      <c r="G40" s="13"/>
    </row>
    <row r="41" spans="3:4" ht="12.75">
      <c r="C41" s="25"/>
      <c r="D41" s="379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2"/>
  <sheetViews>
    <sheetView showGridLines="0" tabSelected="1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11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210</v>
      </c>
      <c r="C1" s="1"/>
      <c r="D1" s="4"/>
      <c r="E1" s="1"/>
      <c r="F1" s="289" t="s">
        <v>121</v>
      </c>
      <c r="G1" s="290"/>
      <c r="H1" s="291"/>
      <c r="I1" s="130"/>
      <c r="J1" s="131" t="str">
        <f>"True-Up ARR
(CY"&amp;N1&amp;")"</f>
        <v>True-Up ARR
(CY2017)</v>
      </c>
      <c r="K1" s="131" t="str">
        <f>"Projected ARR
(Jul'"&amp;RIGHT(N$1-1,2)&amp;" - Jun'"&amp;RIGHT(N$1,2)&amp;")"</f>
        <v>Projected ARR
(Jul'16 - Jun'17)</v>
      </c>
      <c r="L1" s="276" t="s">
        <v>206</v>
      </c>
      <c r="M1" s="285"/>
      <c r="N1" s="347">
        <v>2017</v>
      </c>
      <c r="O1" s="302" t="s">
        <v>247</v>
      </c>
    </row>
    <row r="2" spans="2:14" ht="12.75">
      <c r="B2" s="5" t="s">
        <v>216</v>
      </c>
      <c r="C2" s="1"/>
      <c r="D2" s="4"/>
      <c r="E2" s="1"/>
      <c r="F2" s="126">
        <v>9</v>
      </c>
      <c r="G2" s="399" t="s">
        <v>251</v>
      </c>
      <c r="H2" s="399"/>
      <c r="I2" s="249" t="s">
        <v>111</v>
      </c>
      <c r="J2" s="376">
        <f>+'[2]Trued-Up Zonal Rates'!$I$29</f>
        <v>159352822.19841266</v>
      </c>
      <c r="K2" s="376">
        <f>+'[3]Projected Zonal Rates'!$I$29</f>
        <v>159986177.63541734</v>
      </c>
      <c r="L2" s="328" t="s">
        <v>378</v>
      </c>
      <c r="M2" s="280"/>
      <c r="N2"/>
    </row>
    <row r="3" spans="2:14" ht="12.75">
      <c r="B3" s="5" t="str">
        <f>"for CY"&amp;N1&amp;" SPP Network Transmission Service"</f>
        <v>for CY2017 SPP Network Transmission Service</v>
      </c>
      <c r="C3" s="1"/>
      <c r="D3" s="4"/>
      <c r="E3" s="1"/>
      <c r="F3" s="126"/>
      <c r="G3" s="399" t="str">
        <f>"of CY"&amp;$N$1</f>
        <v>of CY2017</v>
      </c>
      <c r="H3" s="399"/>
      <c r="I3" s="249" t="s">
        <v>119</v>
      </c>
      <c r="J3" s="394">
        <f>+'[2]Trued-Up Zonal Rates'!$I$33</f>
        <v>1666.38</v>
      </c>
      <c r="K3" s="377">
        <f>+'[3]Projected Zonal Rates'!$I$33</f>
        <v>1623.7</v>
      </c>
      <c r="L3" s="277" t="str">
        <f>"Inv. Jan-Jun'"&amp;RIGHT(N1,2)</f>
        <v>Inv. Jan-Jun'17</v>
      </c>
      <c r="M3" s="280"/>
      <c r="N3"/>
    </row>
    <row r="4" spans="2:14" ht="12.75">
      <c r="B4" s="112"/>
      <c r="C4" s="1"/>
      <c r="D4" s="4"/>
      <c r="E4" s="1"/>
      <c r="F4" s="126"/>
      <c r="G4" s="16"/>
      <c r="H4" s="16"/>
      <c r="I4" s="283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49"/>
      <c r="J5" s="16"/>
      <c r="K5" s="80"/>
      <c r="L5" s="16"/>
      <c r="M5" s="281"/>
      <c r="N5" s="26"/>
    </row>
    <row r="6" spans="2:31" ht="34.5" thickBot="1">
      <c r="B6" s="5" t="s">
        <v>145</v>
      </c>
      <c r="D6" s="4"/>
      <c r="E6" s="1"/>
      <c r="F6" s="292"/>
      <c r="G6" s="287"/>
      <c r="H6" s="288"/>
      <c r="I6" s="250"/>
      <c r="J6" s="132" t="str">
        <f>J1</f>
        <v>True-Up ARR
(CY2017)</v>
      </c>
      <c r="K6" s="132" t="str">
        <f>"Projected ARR
(Jul'"&amp;RIGHT(N$1,2)&amp;" - Jun'"&amp;RIGHT(N$1+1,2)&amp;")"</f>
        <v>Projected ARR
(Jul'17 - Jun'18)</v>
      </c>
      <c r="L6" s="278"/>
      <c r="M6" s="286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268</v>
      </c>
      <c r="D7" s="4"/>
      <c r="E7" s="1"/>
      <c r="F7" s="126"/>
      <c r="G7" s="400" t="s">
        <v>252</v>
      </c>
      <c r="H7" s="399"/>
      <c r="I7" s="249" t="s">
        <v>111</v>
      </c>
      <c r="J7" s="160">
        <f>+J2</f>
        <v>159352822.19841266</v>
      </c>
      <c r="K7" s="376">
        <f>+'[1]Projected Zonal Rates'!$I$29</f>
        <v>161844915.256761</v>
      </c>
      <c r="L7" s="328" t="s">
        <v>379</v>
      </c>
      <c r="M7" s="282"/>
      <c r="N7" s="395"/>
      <c r="O7" s="144" t="s">
        <v>1</v>
      </c>
      <c r="P7" s="99"/>
      <c r="V7" s="26"/>
      <c r="W7" s="143" t="s">
        <v>205</v>
      </c>
      <c r="AE7" s="26"/>
    </row>
    <row r="8" spans="2:31" ht="12.75">
      <c r="B8" s="5"/>
      <c r="C8" s="1"/>
      <c r="D8" s="4"/>
      <c r="E8" s="1"/>
      <c r="F8" s="126"/>
      <c r="G8" s="399" t="str">
        <f>"of CY"&amp;$N$1</f>
        <v>of CY2017</v>
      </c>
      <c r="H8" s="399"/>
      <c r="I8" s="249" t="s">
        <v>119</v>
      </c>
      <c r="J8" s="75">
        <f>+J3</f>
        <v>1666.38</v>
      </c>
      <c r="K8" s="377">
        <f>+'[1]Projected Zonal Rates'!$I$33</f>
        <v>1651.41</v>
      </c>
      <c r="L8" s="279" t="str">
        <f>"Inv. Jul-Dec'"&amp;RIGHT(N1,2)</f>
        <v>Inv. Jul-Dec'17</v>
      </c>
      <c r="M8" s="280"/>
      <c r="N8" s="26"/>
      <c r="O8" s="10">
        <f>DATE(N1,1,1)</f>
        <v>42736</v>
      </c>
      <c r="P8" s="10">
        <f aca="true" t="shared" si="0" ref="P8:U8">DATE(YEAR(O8),MONTH(O8)+3,DAY(O8))</f>
        <v>42826</v>
      </c>
      <c r="Q8" s="10">
        <f t="shared" si="0"/>
        <v>42917</v>
      </c>
      <c r="R8" s="10">
        <f t="shared" si="0"/>
        <v>43009</v>
      </c>
      <c r="S8" s="10">
        <f t="shared" si="0"/>
        <v>43101</v>
      </c>
      <c r="T8" s="10">
        <f t="shared" si="0"/>
        <v>43191</v>
      </c>
      <c r="U8" s="10">
        <f t="shared" si="0"/>
        <v>43282</v>
      </c>
      <c r="V8" s="245">
        <f>DATE(YEAR(U8),MONTH(U8)+3,DAY(U8))</f>
        <v>43374</v>
      </c>
      <c r="W8" s="348" t="str">
        <f>"7/1/"&amp;N1+1</f>
        <v>7/1/2018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304"/>
      <c r="J9" s="305"/>
      <c r="K9" s="306"/>
      <c r="L9" s="307"/>
      <c r="M9" s="280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308"/>
      <c r="J10" s="161"/>
      <c r="K10" s="161"/>
      <c r="L10" s="309"/>
      <c r="M10" s="284"/>
      <c r="N10" s="218"/>
      <c r="O10" s="9">
        <f aca="true" t="shared" si="1" ref="O10:V10">VLOOKUP(O19,tbl_QtrPrimRat,2,FALSE)</f>
        <v>0.035</v>
      </c>
      <c r="P10" s="9">
        <f t="shared" si="1"/>
        <v>0.035</v>
      </c>
      <c r="Q10" s="9">
        <f t="shared" si="1"/>
        <v>0.036399999999999995</v>
      </c>
      <c r="R10" s="9">
        <f t="shared" si="1"/>
        <v>0.038766666666666665</v>
      </c>
      <c r="S10" s="9">
        <f t="shared" si="1"/>
        <v>0.04126666666666667</v>
      </c>
      <c r="T10" s="9">
        <f t="shared" si="1"/>
        <v>0.04236666666666667</v>
      </c>
      <c r="U10" s="9">
        <f>VLOOKUP(U19,tbl_QtrPrimRat,2,FALSE)</f>
        <v>0.04396666666666666</v>
      </c>
      <c r="V10" s="101">
        <f t="shared" si="1"/>
        <v>0.0447</v>
      </c>
      <c r="W10" s="136" t="s">
        <v>3</v>
      </c>
      <c r="X10" s="68"/>
      <c r="Y10" s="71"/>
      <c r="Z10" s="71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9.589041095890412E-05</v>
      </c>
      <c r="P11" s="18">
        <f t="shared" si="2"/>
        <v>9.589041095890412E-05</v>
      </c>
      <c r="Q11" s="18">
        <f t="shared" si="2"/>
        <v>9.972602739726026E-05</v>
      </c>
      <c r="R11" s="18">
        <f t="shared" si="2"/>
        <v>0.00010621004566210044</v>
      </c>
      <c r="S11" s="18">
        <f t="shared" si="2"/>
        <v>0.0001130593607305936</v>
      </c>
      <c r="T11" s="18">
        <f t="shared" si="2"/>
        <v>0.0001160730593607306</v>
      </c>
      <c r="U11" s="18">
        <f t="shared" si="2"/>
        <v>0.0001204566210045662</v>
      </c>
      <c r="V11" s="102">
        <f t="shared" si="2"/>
        <v>0.00012246575342465753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7" t="s">
        <v>227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65"/>
      <c r="G13" s="266"/>
      <c r="H13" s="266"/>
      <c r="I13" s="262" t="s">
        <v>225</v>
      </c>
      <c r="J13" s="133">
        <f>SUM(J56:J211)</f>
        <v>38173433.04000001</v>
      </c>
      <c r="K13" s="133">
        <f>SUM(K56:K211)</f>
        <v>37527491.42999998</v>
      </c>
      <c r="L13" s="151">
        <f>SUM(L56:L211)</f>
        <v>645941.6100000006</v>
      </c>
      <c r="M13" s="134">
        <f>SUM(M56:M211)</f>
        <v>26448.278109167917</v>
      </c>
      <c r="N13" s="151">
        <f>SUM(N56:N211)</f>
        <v>672389.8881091689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64" t="s">
        <v>226</v>
      </c>
      <c r="J14" s="133">
        <f>SUM(J20:J211)</f>
        <v>159354253.01999998</v>
      </c>
      <c r="K14" s="133">
        <f>SUM(K20:K211)</f>
        <v>156674462.22999993</v>
      </c>
      <c r="L14" s="151">
        <f>SUM(L20:L211)</f>
        <v>2679790.790000006</v>
      </c>
      <c r="M14" s="134">
        <f>SUM(M20:M211)</f>
        <v>108741.75220965108</v>
      </c>
      <c r="N14" s="151">
        <f>SUM(N20:N211)</f>
        <v>2788532.5422096564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381</v>
      </c>
      <c r="E15" s="54"/>
      <c r="J15" s="7"/>
      <c r="L15" s="8"/>
      <c r="M15" s="27"/>
      <c r="N15" s="152" t="s">
        <v>142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CY2017 Charge reflects 2017 True-UP Rate x MW</v>
      </c>
      <c r="E16" s="54"/>
      <c r="F16" s="16"/>
      <c r="G16" s="2"/>
      <c r="J16" s="72"/>
      <c r="L16" s="82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238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97" t="s">
        <v>114</v>
      </c>
    </row>
    <row r="19" spans="2:31" ht="38.25" customHeight="1">
      <c r="B19" s="91" t="s">
        <v>217</v>
      </c>
      <c r="C19" s="92" t="s">
        <v>107</v>
      </c>
      <c r="D19" s="92" t="s">
        <v>108</v>
      </c>
      <c r="E19" s="93" t="s">
        <v>0</v>
      </c>
      <c r="F19" s="97" t="s">
        <v>121</v>
      </c>
      <c r="G19" s="94" t="s">
        <v>6</v>
      </c>
      <c r="H19" s="248" t="s">
        <v>209</v>
      </c>
      <c r="I19" s="248" t="s">
        <v>207</v>
      </c>
      <c r="J19" s="268" t="str">
        <f>"True-Up Charge"</f>
        <v>True-Up Charge</v>
      </c>
      <c r="K19" s="268" t="s">
        <v>208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1Q2017</v>
      </c>
      <c r="P19" s="51" t="str">
        <f t="shared" si="4"/>
        <v>2Q2017</v>
      </c>
      <c r="Q19" s="51" t="str">
        <f t="shared" si="4"/>
        <v>3Q2017</v>
      </c>
      <c r="R19" s="51" t="str">
        <f t="shared" si="4"/>
        <v>4Q2017</v>
      </c>
      <c r="S19" s="51" t="str">
        <f t="shared" si="4"/>
        <v>1Q2018</v>
      </c>
      <c r="T19" s="51" t="str">
        <f t="shared" si="4"/>
        <v>2Q2018</v>
      </c>
      <c r="U19" s="51" t="str">
        <f>IF(MONTH(U8)&lt;4,"1Q",IF(MONTH(U8)&lt;7,"2Q",IF(MONTH(U8)&lt;10,"3Q","4Q")))&amp;YEAR(U8)</f>
        <v>3Q2018</v>
      </c>
      <c r="V19" s="105" t="str">
        <f t="shared" si="4"/>
        <v>4Q2018</v>
      </c>
      <c r="W19" s="33" t="str">
        <f aca="true" t="shared" si="5" ref="W19:AD19">+O19</f>
        <v>1Q2017</v>
      </c>
      <c r="X19" s="12" t="str">
        <f t="shared" si="5"/>
        <v>2Q2017</v>
      </c>
      <c r="Y19" s="12" t="str">
        <f t="shared" si="5"/>
        <v>3Q2017</v>
      </c>
      <c r="Z19" s="12" t="str">
        <f t="shared" si="5"/>
        <v>4Q2017</v>
      </c>
      <c r="AA19" s="12" t="str">
        <f t="shared" si="5"/>
        <v>1Q2018</v>
      </c>
      <c r="AB19" s="12" t="str">
        <f t="shared" si="5"/>
        <v>2Q2018</v>
      </c>
      <c r="AC19" s="12" t="str">
        <f t="shared" si="5"/>
        <v>3Q2018</v>
      </c>
      <c r="AD19" s="12" t="str">
        <f t="shared" si="5"/>
        <v>4Q2018</v>
      </c>
      <c r="AE19" s="398"/>
    </row>
    <row r="20" spans="1:31" s="13" customFormat="1" ht="12.75" customHeight="1">
      <c r="A20" s="16">
        <v>1</v>
      </c>
      <c r="B20" s="15">
        <f>DATE($N$1,A20,1)</f>
        <v>42736</v>
      </c>
      <c r="C20" s="358">
        <v>42769</v>
      </c>
      <c r="D20" s="358">
        <f aca="true" t="shared" si="6" ref="D20:D31">IF(WEEKDAY(C20+15)=1,C20+16,IF(WEEKDAY(C20+15)=7,C20+17,(C20+15)))</f>
        <v>42786</v>
      </c>
      <c r="E20" s="118" t="s">
        <v>143</v>
      </c>
      <c r="F20" s="16">
        <v>9</v>
      </c>
      <c r="G20" s="359">
        <f>+'[2]Load WS'!$E$10</f>
        <v>2694</v>
      </c>
      <c r="H20" s="246">
        <f aca="true" t="shared" si="7" ref="H20:H25">$K$3</f>
        <v>1623.7</v>
      </c>
      <c r="I20" s="246">
        <f>$J$3</f>
        <v>1666.38</v>
      </c>
      <c r="J20" s="56">
        <f>+$G20*I20</f>
        <v>4489227.720000001</v>
      </c>
      <c r="K20" s="57">
        <f>+$G20*H20</f>
        <v>4374247.8</v>
      </c>
      <c r="L20" s="58">
        <f aca="true" t="shared" si="8" ref="L20:L34">+J20-K20</f>
        <v>114979.92000000086</v>
      </c>
      <c r="M20" s="55">
        <f aca="true" t="shared" si="9" ref="M20:M25">+AE20</f>
        <v>6137.681904571449</v>
      </c>
      <c r="N20" s="29">
        <f>SUM(L20:M20)</f>
        <v>121117.60190457231</v>
      </c>
      <c r="O20" s="16">
        <f aca="true" t="shared" si="10" ref="O20:R31">IF($D20&lt;O$8,O$12,IF($D20&lt;P$8,P$8-$D20,0))</f>
        <v>40</v>
      </c>
      <c r="P20" s="16">
        <f t="shared" si="10"/>
        <v>91</v>
      </c>
      <c r="Q20" s="16">
        <f t="shared" si="10"/>
        <v>92</v>
      </c>
      <c r="R20" s="16">
        <f t="shared" si="10"/>
        <v>92</v>
      </c>
      <c r="S20" s="16">
        <f aca="true" t="shared" si="11" ref="S20:U25">IF($D20&lt;S$8,S$12,IF($D20&lt;T$8,T$8-$D20,0))</f>
        <v>90</v>
      </c>
      <c r="T20" s="16">
        <f t="shared" si="11"/>
        <v>91</v>
      </c>
      <c r="U20" s="16">
        <f t="shared" si="11"/>
        <v>0</v>
      </c>
      <c r="V20" s="106">
        <f>IF(W$8&lt;V$8,0,IF($D20&lt;V$8,V$12,IF($D20&lt;W$8,W$8-$D20,0)))</f>
        <v>0</v>
      </c>
      <c r="W20" s="141">
        <f>$L20*O$11*O20</f>
        <v>441.01887123288003</v>
      </c>
      <c r="X20" s="63">
        <f>($L20+SUM($W20:W20))*(P$11*P20)</f>
        <v>1007.166274807889</v>
      </c>
      <c r="Y20" s="63">
        <f>($L20+SUM($W20:X20))*(Q$11*Q20)</f>
        <v>1068.2039411316825</v>
      </c>
      <c r="Z20" s="63">
        <f>($L20+SUM($W20:Y20))*(R$11*R20)</f>
        <v>1148.0945285014789</v>
      </c>
      <c r="AA20" s="63">
        <f>($L20+SUM($W20:Z20))*(S$11*S20)</f>
        <v>1207.2474384345649</v>
      </c>
      <c r="AB20" s="63">
        <f>($L20+SUM($W20:AA20))*(T$11*T20)</f>
        <v>1265.9508504629537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2" ref="AE20:AE25">SUM(W20:AD20)</f>
        <v>6137.681904571449</v>
      </c>
    </row>
    <row r="21" spans="1:33" ht="12.75">
      <c r="A21" s="3">
        <v>2</v>
      </c>
      <c r="B21" s="15">
        <f aca="true" t="shared" si="13" ref="B21:B96">DATE($N$1,A21,1)</f>
        <v>42767</v>
      </c>
      <c r="C21" s="358">
        <v>42797</v>
      </c>
      <c r="D21" s="358">
        <f t="shared" si="6"/>
        <v>42814</v>
      </c>
      <c r="E21" s="70" t="s">
        <v>143</v>
      </c>
      <c r="F21" s="3">
        <v>9</v>
      </c>
      <c r="G21" s="359">
        <f>+'[2]Load WS'!$F$10</f>
        <v>2262</v>
      </c>
      <c r="H21" s="246">
        <f t="shared" si="7"/>
        <v>1623.7</v>
      </c>
      <c r="I21" s="246">
        <f aca="true" t="shared" si="14" ref="I21:I63">$J$3</f>
        <v>1666.38</v>
      </c>
      <c r="J21" s="56">
        <f aca="true" t="shared" si="15" ref="J21:J96">+$G21*I21</f>
        <v>3769351.56</v>
      </c>
      <c r="K21" s="57">
        <f aca="true" t="shared" si="16" ref="K21:K33">+$G21*H21</f>
        <v>3672809.4</v>
      </c>
      <c r="L21" s="58">
        <f t="shared" si="8"/>
        <v>96542.16000000015</v>
      </c>
      <c r="M21" s="55">
        <f t="shared" si="9"/>
        <v>4881.463160420287</v>
      </c>
      <c r="N21" s="29">
        <f>SUM(L21:M21)</f>
        <v>101423.62316042044</v>
      </c>
      <c r="O21" s="16">
        <f t="shared" si="10"/>
        <v>12</v>
      </c>
      <c r="P21" s="16">
        <f t="shared" si="10"/>
        <v>91</v>
      </c>
      <c r="Q21" s="16">
        <f t="shared" si="10"/>
        <v>92</v>
      </c>
      <c r="R21" s="16">
        <f t="shared" si="10"/>
        <v>92</v>
      </c>
      <c r="S21" s="16">
        <f t="shared" si="11"/>
        <v>90</v>
      </c>
      <c r="T21" s="16">
        <f t="shared" si="11"/>
        <v>91</v>
      </c>
      <c r="U21" s="16">
        <f t="shared" si="11"/>
        <v>0</v>
      </c>
      <c r="V21" s="106">
        <f aca="true" t="shared" si="17" ref="V21:V91">IF(W$8&lt;V$8,0,IF($D21&lt;V$8,V$12,IF($D21&lt;W$8,W$8-$D21,0)))</f>
        <v>0</v>
      </c>
      <c r="W21" s="141">
        <f aca="true" t="shared" si="18" ref="W21:W31">$L21*O$11*O21</f>
        <v>111.08960876712347</v>
      </c>
      <c r="X21" s="63">
        <f>($L21+SUM($W21:W21))*(P$11*P21)</f>
        <v>843.3989041203391</v>
      </c>
      <c r="Y21" s="63">
        <f>($L21+SUM($W21:X21))*(Q$11*Q21)</f>
        <v>894.51171654783</v>
      </c>
      <c r="Z21" s="63">
        <f>($L21+SUM($W21:Y21))*(R$11*R21)</f>
        <v>961.4119251058148</v>
      </c>
      <c r="AA21" s="63">
        <f>($L21+SUM($W21:Z21))*(S$11*S21)</f>
        <v>1010.9464465259348</v>
      </c>
      <c r="AB21" s="63">
        <f>($L21+SUM($W21:AA21))*(T$11*T21)</f>
        <v>1060.104559353245</v>
      </c>
      <c r="AC21" s="63">
        <f>($L21+SUM($W21:AB21))*(U$11*U21)</f>
        <v>0</v>
      </c>
      <c r="AD21" s="63">
        <f>($L21+SUM($W21:AC21))*(V$11*V21)</f>
        <v>0</v>
      </c>
      <c r="AE21" s="110">
        <f t="shared" si="12"/>
        <v>4881.463160420287</v>
      </c>
      <c r="AG21" s="303"/>
    </row>
    <row r="22" spans="1:31" ht="12.75">
      <c r="A22" s="3">
        <v>3</v>
      </c>
      <c r="B22" s="15">
        <f t="shared" si="13"/>
        <v>42795</v>
      </c>
      <c r="C22" s="358">
        <v>42830</v>
      </c>
      <c r="D22" s="358">
        <f t="shared" si="6"/>
        <v>42845</v>
      </c>
      <c r="E22" s="70" t="s">
        <v>143</v>
      </c>
      <c r="F22" s="3">
        <v>9</v>
      </c>
      <c r="G22" s="359">
        <f>+'[2]Load WS'!$G$10</f>
        <v>2736</v>
      </c>
      <c r="H22" s="246">
        <f t="shared" si="7"/>
        <v>1623.7</v>
      </c>
      <c r="I22" s="246">
        <f t="shared" si="14"/>
        <v>1666.38</v>
      </c>
      <c r="J22" s="56">
        <f t="shared" si="15"/>
        <v>4559215.680000001</v>
      </c>
      <c r="K22" s="57">
        <f t="shared" si="16"/>
        <v>4442443.2</v>
      </c>
      <c r="L22" s="58">
        <f t="shared" si="8"/>
        <v>116772.48000000045</v>
      </c>
      <c r="M22" s="55">
        <f t="shared" si="9"/>
        <v>5542.050068881347</v>
      </c>
      <c r="N22" s="29">
        <f>SUM(L22:M22)</f>
        <v>122314.5300688818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1"/>
        <v>90</v>
      </c>
      <c r="T22" s="16">
        <f t="shared" si="11"/>
        <v>91</v>
      </c>
      <c r="U22" s="16">
        <f t="shared" si="11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806.2099989041128</v>
      </c>
      <c r="Y22" s="63">
        <f>($L22+SUM($W22:X22))*(Q$11*Q22)</f>
        <v>1078.760320735155</v>
      </c>
      <c r="Z22" s="63">
        <f>($L22+SUM($W22:Y22))*(R$11*R22)</f>
        <v>1159.4404159269561</v>
      </c>
      <c r="AA22" s="63">
        <f>($L22+SUM($W22:Z22))*(S$11*S22)</f>
        <v>1219.1778964161497</v>
      </c>
      <c r="AB22" s="63">
        <f>($L22+SUM($W22:AA22))*(T$11*T22)</f>
        <v>1278.461436898974</v>
      </c>
      <c r="AC22" s="63">
        <f>($L22+SUM($W22:AB22))*(U$11*U22)</f>
        <v>0</v>
      </c>
      <c r="AD22" s="63">
        <f>($L22+SUM($W22:AC22))*(V$11*V22)</f>
        <v>0</v>
      </c>
      <c r="AE22" s="110">
        <f t="shared" si="12"/>
        <v>5542.050068881347</v>
      </c>
    </row>
    <row r="23" spans="1:31" ht="12.75">
      <c r="A23" s="16">
        <v>4</v>
      </c>
      <c r="B23" s="15">
        <f t="shared" si="13"/>
        <v>42826</v>
      </c>
      <c r="C23" s="358">
        <v>42858</v>
      </c>
      <c r="D23" s="358">
        <f t="shared" si="6"/>
        <v>42873</v>
      </c>
      <c r="E23" s="70" t="s">
        <v>143</v>
      </c>
      <c r="F23" s="3">
        <v>9</v>
      </c>
      <c r="G23" s="359">
        <f>+'[2]Load WS'!$H$10</f>
        <v>2513</v>
      </c>
      <c r="H23" s="246">
        <f t="shared" si="7"/>
        <v>1623.7</v>
      </c>
      <c r="I23" s="246">
        <f t="shared" si="14"/>
        <v>1666.38</v>
      </c>
      <c r="J23" s="56">
        <f t="shared" si="15"/>
        <v>4187612.9400000004</v>
      </c>
      <c r="K23" s="57">
        <f t="shared" si="16"/>
        <v>4080358.1</v>
      </c>
      <c r="L23" s="58">
        <f t="shared" si="8"/>
        <v>107254.84000000032</v>
      </c>
      <c r="M23" s="55">
        <f t="shared" si="9"/>
        <v>4790.769733583578</v>
      </c>
      <c r="N23" s="29">
        <f aca="true" t="shared" si="19" ref="N23:N33">SUM(L23:M23)</f>
        <v>112045.6097335839</v>
      </c>
      <c r="O23" s="16">
        <f t="shared" si="10"/>
        <v>0</v>
      </c>
      <c r="P23" s="16">
        <f t="shared" si="10"/>
        <v>44</v>
      </c>
      <c r="Q23" s="16">
        <f t="shared" si="10"/>
        <v>92</v>
      </c>
      <c r="R23" s="16">
        <f t="shared" si="10"/>
        <v>92</v>
      </c>
      <c r="S23" s="16">
        <f t="shared" si="11"/>
        <v>90</v>
      </c>
      <c r="T23" s="16">
        <f t="shared" si="11"/>
        <v>91</v>
      </c>
      <c r="U23" s="16">
        <f t="shared" si="11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452.52727013698774</v>
      </c>
      <c r="Y23" s="63">
        <f>($L23+SUM($W23:X23))*(Q$11*Q23)</f>
        <v>988.1929630527006</v>
      </c>
      <c r="Z23" s="63">
        <f>($L23+SUM($W23:Y23))*(R$11*R23)</f>
        <v>1062.0995582383923</v>
      </c>
      <c r="AA23" s="63">
        <f>($L23+SUM($W23:Z23))*(S$11*S23)</f>
        <v>1116.8217766174384</v>
      </c>
      <c r="AB23" s="63">
        <f>($L23+SUM($W23:AA23))*(T$11*T23)</f>
        <v>1171.1281655380594</v>
      </c>
      <c r="AC23" s="63">
        <f>($L23+SUM($W23:AB23))*(U$11*U23)</f>
        <v>0</v>
      </c>
      <c r="AD23" s="63">
        <f>($L23+SUM($W23:AC23))*(V$11*V23)</f>
        <v>0</v>
      </c>
      <c r="AE23" s="110">
        <f t="shared" si="12"/>
        <v>4790.769733583578</v>
      </c>
    </row>
    <row r="24" spans="1:31" ht="12" customHeight="1">
      <c r="A24" s="3">
        <v>5</v>
      </c>
      <c r="B24" s="15">
        <f t="shared" si="13"/>
        <v>42856</v>
      </c>
      <c r="C24" s="358">
        <v>42891</v>
      </c>
      <c r="D24" s="358">
        <f t="shared" si="6"/>
        <v>42906</v>
      </c>
      <c r="E24" s="30" t="s">
        <v>143</v>
      </c>
      <c r="F24" s="3">
        <v>9</v>
      </c>
      <c r="G24" s="359">
        <f>+'[2]Load WS'!$I$10</f>
        <v>3191</v>
      </c>
      <c r="H24" s="246">
        <f t="shared" si="7"/>
        <v>1623.7</v>
      </c>
      <c r="I24" s="246">
        <f t="shared" si="14"/>
        <v>1666.38</v>
      </c>
      <c r="J24" s="56">
        <f t="shared" si="15"/>
        <v>5317418.58</v>
      </c>
      <c r="K24" s="57">
        <f t="shared" si="16"/>
        <v>5181226.7</v>
      </c>
      <c r="L24" s="58">
        <f t="shared" si="8"/>
        <v>136191.8799999999</v>
      </c>
      <c r="M24" s="55">
        <f t="shared" si="9"/>
        <v>5634.983591915834</v>
      </c>
      <c r="N24" s="29">
        <f t="shared" si="19"/>
        <v>141826.86359191572</v>
      </c>
      <c r="O24" s="16">
        <f t="shared" si="10"/>
        <v>0</v>
      </c>
      <c r="P24" s="16">
        <f t="shared" si="10"/>
        <v>11</v>
      </c>
      <c r="Q24" s="16">
        <f t="shared" si="10"/>
        <v>92</v>
      </c>
      <c r="R24" s="16">
        <f t="shared" si="10"/>
        <v>92</v>
      </c>
      <c r="S24" s="16">
        <f t="shared" si="11"/>
        <v>90</v>
      </c>
      <c r="T24" s="16">
        <f t="shared" si="11"/>
        <v>91</v>
      </c>
      <c r="U24" s="16">
        <f t="shared" si="11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143.6544487671232</v>
      </c>
      <c r="Y24" s="63">
        <f>($L24+SUM($W24:X24))*(Q$11*Q24)</f>
        <v>1250.850514416523</v>
      </c>
      <c r="Z24" s="63">
        <f>($L24+SUM($W24:Y24))*(R$11*R24)</f>
        <v>1344.401173106921</v>
      </c>
      <c r="AA24" s="63">
        <f>($L24+SUM($W24:Z24))*(S$11*S24)</f>
        <v>1413.6683279731035</v>
      </c>
      <c r="AB24" s="63">
        <f>($L24+SUM($W24:AA24))*(T$11*T24)</f>
        <v>1482.4091276521635</v>
      </c>
      <c r="AC24" s="63">
        <f>($L24+SUM($W24:AB24))*(U$11*U24)</f>
        <v>0</v>
      </c>
      <c r="AD24" s="63">
        <f>($L24+SUM($W24:AC24))*(V$11*V24)</f>
        <v>0</v>
      </c>
      <c r="AE24" s="110">
        <f t="shared" si="12"/>
        <v>5634.983591915834</v>
      </c>
    </row>
    <row r="25" spans="1:31" ht="12.75">
      <c r="A25" s="3">
        <v>6</v>
      </c>
      <c r="B25" s="15">
        <f t="shared" si="13"/>
        <v>42887</v>
      </c>
      <c r="C25" s="358">
        <v>42922</v>
      </c>
      <c r="D25" s="358">
        <f t="shared" si="6"/>
        <v>42937</v>
      </c>
      <c r="E25" s="30" t="s">
        <v>143</v>
      </c>
      <c r="F25" s="3">
        <v>9</v>
      </c>
      <c r="G25" s="359">
        <f>+'[2]Load WS'!$J$10</f>
        <v>3686</v>
      </c>
      <c r="H25" s="246">
        <f t="shared" si="7"/>
        <v>1623.7</v>
      </c>
      <c r="I25" s="246">
        <f t="shared" si="14"/>
        <v>1666.38</v>
      </c>
      <c r="J25" s="56">
        <f t="shared" si="15"/>
        <v>6142276.680000001</v>
      </c>
      <c r="K25" s="57">
        <f t="shared" si="16"/>
        <v>5984958.2</v>
      </c>
      <c r="L25" s="77">
        <f t="shared" si="8"/>
        <v>157318.48000000045</v>
      </c>
      <c r="M25" s="78">
        <f t="shared" si="9"/>
        <v>6013.035586710184</v>
      </c>
      <c r="N25" s="76">
        <f t="shared" si="19"/>
        <v>163331.51558671062</v>
      </c>
      <c r="O25" s="16">
        <f t="shared" si="10"/>
        <v>0</v>
      </c>
      <c r="P25" s="16">
        <f t="shared" si="10"/>
        <v>0</v>
      </c>
      <c r="Q25" s="16">
        <f t="shared" si="10"/>
        <v>72</v>
      </c>
      <c r="R25" s="16">
        <f t="shared" si="10"/>
        <v>92</v>
      </c>
      <c r="S25" s="16">
        <f t="shared" si="11"/>
        <v>90</v>
      </c>
      <c r="T25" s="16">
        <f t="shared" si="11"/>
        <v>91</v>
      </c>
      <c r="U25" s="16">
        <f t="shared" si="11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1129.5897873534277</v>
      </c>
      <c r="Z25" s="63">
        <f>($L25+SUM($W25:Y25))*(R$11*R25)</f>
        <v>1548.247458901161</v>
      </c>
      <c r="AA25" s="63">
        <f>($L25+SUM($W25:Z25))*(S$11*S25)</f>
        <v>1628.0173212399757</v>
      </c>
      <c r="AB25" s="63">
        <f>($L25+SUM($W25:AA25))*(T$11*T25)</f>
        <v>1707.1810192156202</v>
      </c>
      <c r="AC25" s="63">
        <f>($L25+SUM($W25:AB25))*(U$11*U25)</f>
        <v>0</v>
      </c>
      <c r="AD25" s="63">
        <f>($L25+SUM($W25:AC25))*(V$11*V25)</f>
        <v>0</v>
      </c>
      <c r="AE25" s="110">
        <f t="shared" si="12"/>
        <v>6013.035586710184</v>
      </c>
    </row>
    <row r="26" spans="1:31" ht="12.75">
      <c r="A26" s="16">
        <v>7</v>
      </c>
      <c r="B26" s="15">
        <f t="shared" si="13"/>
        <v>42917</v>
      </c>
      <c r="C26" s="358">
        <v>42950</v>
      </c>
      <c r="D26" s="358">
        <f t="shared" si="6"/>
        <v>42965</v>
      </c>
      <c r="E26" s="30" t="s">
        <v>143</v>
      </c>
      <c r="F26" s="3">
        <v>9</v>
      </c>
      <c r="G26" s="359">
        <f>+'[2]Load WS'!$K$10</f>
        <v>3995</v>
      </c>
      <c r="H26" s="246">
        <f aca="true" t="shared" si="20" ref="H26:H31">$K$8</f>
        <v>1651.41</v>
      </c>
      <c r="I26" s="246">
        <f t="shared" si="14"/>
        <v>1666.38</v>
      </c>
      <c r="J26" s="56">
        <f t="shared" si="15"/>
        <v>6657188.100000001</v>
      </c>
      <c r="K26" s="74">
        <f t="shared" si="16"/>
        <v>6597382.95</v>
      </c>
      <c r="L26" s="77">
        <f t="shared" si="8"/>
        <v>59805.15000000037</v>
      </c>
      <c r="M26" s="75">
        <f aca="true" t="shared" si="21" ref="M26:M37">+AE26</f>
        <v>2113.7332025833084</v>
      </c>
      <c r="N26" s="76">
        <f t="shared" si="19"/>
        <v>61918.88320258368</v>
      </c>
      <c r="O26" s="16">
        <f t="shared" si="10"/>
        <v>0</v>
      </c>
      <c r="P26" s="16">
        <f t="shared" si="10"/>
        <v>0</v>
      </c>
      <c r="Q26" s="16">
        <f t="shared" si="10"/>
        <v>44</v>
      </c>
      <c r="R26" s="16">
        <f t="shared" si="10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262.42172120548105</v>
      </c>
      <c r="Z26" s="63">
        <f>($L26+SUM($W26:Y26))*(R$11*R26)</f>
        <v>586.9397172495105</v>
      </c>
      <c r="AA26" s="63">
        <f>($L26+SUM($W26:Z26))*(S$11*S26)</f>
        <v>617.1804259792417</v>
      </c>
      <c r="AB26" s="63">
        <f>($L26+SUM($W26:AA26))*(T$11*T26)</f>
        <v>647.191338149075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2113.7332025833084</v>
      </c>
    </row>
    <row r="27" spans="1:31" ht="12.75">
      <c r="A27" s="3">
        <v>8</v>
      </c>
      <c r="B27" s="15">
        <f t="shared" si="13"/>
        <v>42948</v>
      </c>
      <c r="C27" s="358">
        <v>42984</v>
      </c>
      <c r="D27" s="358">
        <f t="shared" si="6"/>
        <v>42999</v>
      </c>
      <c r="E27" s="30" t="s">
        <v>143</v>
      </c>
      <c r="F27" s="3">
        <v>9</v>
      </c>
      <c r="G27" s="359">
        <f>+'[2]Load WS'!$L$10</f>
        <v>3742</v>
      </c>
      <c r="H27" s="246">
        <f t="shared" si="20"/>
        <v>1651.41</v>
      </c>
      <c r="I27" s="246">
        <f t="shared" si="14"/>
        <v>1666.38</v>
      </c>
      <c r="J27" s="56">
        <f t="shared" si="15"/>
        <v>6235593.96</v>
      </c>
      <c r="K27" s="74">
        <f t="shared" si="16"/>
        <v>6179576.220000001</v>
      </c>
      <c r="L27" s="77">
        <f t="shared" si="8"/>
        <v>56017.73999999929</v>
      </c>
      <c r="M27" s="75">
        <f t="shared" si="21"/>
        <v>1784.0797481823085</v>
      </c>
      <c r="N27" s="76">
        <f t="shared" si="19"/>
        <v>57801.8197481816</v>
      </c>
      <c r="O27" s="16">
        <f t="shared" si="10"/>
        <v>0</v>
      </c>
      <c r="P27" s="16">
        <f t="shared" si="10"/>
        <v>0</v>
      </c>
      <c r="Q27" s="16">
        <f t="shared" si="10"/>
        <v>10</v>
      </c>
      <c r="R27" s="16">
        <f t="shared" si="10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55.864266739725316</v>
      </c>
      <c r="Z27" s="63">
        <f>($L27+SUM($W27:Y27))*(R$11*R27)</f>
        <v>547.9133664040189</v>
      </c>
      <c r="AA27" s="63">
        <f>($L27+SUM($W27:Z27))*(S$11*S27)</f>
        <v>576.1433328479267</v>
      </c>
      <c r="AB27" s="63">
        <f>($L27+SUM($W27:AA27))*(T$11*T27)</f>
        <v>604.1587821906376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1784.0797481823085</v>
      </c>
    </row>
    <row r="28" spans="1:31" ht="12.75">
      <c r="A28" s="3">
        <v>9</v>
      </c>
      <c r="B28" s="15">
        <f t="shared" si="13"/>
        <v>42979</v>
      </c>
      <c r="C28" s="358">
        <v>43012</v>
      </c>
      <c r="D28" s="358">
        <f t="shared" si="6"/>
        <v>43027</v>
      </c>
      <c r="E28" s="30" t="s">
        <v>143</v>
      </c>
      <c r="F28" s="3">
        <v>9</v>
      </c>
      <c r="G28" s="359">
        <f>+'[2]Load WS'!$M$10</f>
        <v>3649</v>
      </c>
      <c r="H28" s="246">
        <f t="shared" si="20"/>
        <v>1651.41</v>
      </c>
      <c r="I28" s="246">
        <f t="shared" si="14"/>
        <v>1666.38</v>
      </c>
      <c r="J28" s="56">
        <f t="shared" si="15"/>
        <v>6080620.62</v>
      </c>
      <c r="K28" s="74">
        <f t="shared" si="16"/>
        <v>6025995.09</v>
      </c>
      <c r="L28" s="77">
        <f t="shared" si="8"/>
        <v>54625.53000000026</v>
      </c>
      <c r="M28" s="75">
        <f t="shared" si="21"/>
        <v>1576.9761597805953</v>
      </c>
      <c r="N28" s="76">
        <f t="shared" si="19"/>
        <v>56202.50615978085</v>
      </c>
      <c r="O28" s="16">
        <f t="shared" si="10"/>
        <v>0</v>
      </c>
      <c r="P28" s="16">
        <f t="shared" si="10"/>
        <v>0</v>
      </c>
      <c r="Q28" s="16">
        <f t="shared" si="10"/>
        <v>0</v>
      </c>
      <c r="R28" s="16">
        <f t="shared" si="10"/>
        <v>74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429.3317226356184</v>
      </c>
      <c r="AA28" s="63">
        <f>($L28+SUM($W28:Z28))*(S$11*S28)</f>
        <v>560.2020724325196</v>
      </c>
      <c r="AB28" s="63">
        <f>($L28+SUM($W28:AA28))*(T$11*T28)</f>
        <v>587.4423647124572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1576.9761597805953</v>
      </c>
    </row>
    <row r="29" spans="1:31" ht="12.75">
      <c r="A29" s="16">
        <v>10</v>
      </c>
      <c r="B29" s="15">
        <f t="shared" si="13"/>
        <v>43009</v>
      </c>
      <c r="C29" s="358">
        <v>43042</v>
      </c>
      <c r="D29" s="358">
        <f t="shared" si="6"/>
        <v>43059</v>
      </c>
      <c r="E29" s="30" t="s">
        <v>143</v>
      </c>
      <c r="F29" s="3">
        <v>9</v>
      </c>
      <c r="G29" s="359">
        <f>+'[2]Load WS'!$N$10</f>
        <v>2962</v>
      </c>
      <c r="H29" s="246">
        <f t="shared" si="20"/>
        <v>1651.41</v>
      </c>
      <c r="I29" s="246">
        <f t="shared" si="14"/>
        <v>1666.38</v>
      </c>
      <c r="J29" s="56">
        <f t="shared" si="15"/>
        <v>4935817.5600000005</v>
      </c>
      <c r="K29" s="74">
        <f t="shared" si="16"/>
        <v>4891476.42</v>
      </c>
      <c r="L29" s="77">
        <f t="shared" si="8"/>
        <v>44341.140000000596</v>
      </c>
      <c r="M29" s="75">
        <f t="shared" si="21"/>
        <v>1126.2329983273626</v>
      </c>
      <c r="N29" s="76">
        <f t="shared" si="19"/>
        <v>45467.372998327955</v>
      </c>
      <c r="O29" s="16">
        <f t="shared" si="10"/>
        <v>0</v>
      </c>
      <c r="P29" s="16">
        <f t="shared" si="10"/>
        <v>0</v>
      </c>
      <c r="Q29" s="16">
        <f t="shared" si="10"/>
        <v>0</v>
      </c>
      <c r="R29" s="16">
        <f t="shared" si="10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197.79792917260536</v>
      </c>
      <c r="AA29" s="63">
        <f>($L29+SUM($W29:Z29))*(S$11*S29)</f>
        <v>453.19894649027196</v>
      </c>
      <c r="AB29" s="63">
        <f>($L29+SUM($W29:AA29))*(T$11*T29)</f>
        <v>475.23612266448526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1126.2329983273626</v>
      </c>
    </row>
    <row r="30" spans="1:31" ht="12.75">
      <c r="A30" s="3">
        <v>11</v>
      </c>
      <c r="B30" s="15">
        <f t="shared" si="13"/>
        <v>43040</v>
      </c>
      <c r="C30" s="358">
        <v>43074</v>
      </c>
      <c r="D30" s="358">
        <f t="shared" si="6"/>
        <v>43089</v>
      </c>
      <c r="E30" s="30" t="s">
        <v>143</v>
      </c>
      <c r="F30" s="3">
        <v>9</v>
      </c>
      <c r="G30" s="359">
        <f>+'[2]Load WS'!$O$10</f>
        <v>2243</v>
      </c>
      <c r="H30" s="246">
        <f t="shared" si="20"/>
        <v>1651.41</v>
      </c>
      <c r="I30" s="246">
        <f t="shared" si="14"/>
        <v>1666.38</v>
      </c>
      <c r="J30" s="56">
        <f t="shared" si="15"/>
        <v>3737690.3400000003</v>
      </c>
      <c r="K30" s="74">
        <f t="shared" si="16"/>
        <v>3704112.6300000004</v>
      </c>
      <c r="L30" s="77">
        <f t="shared" si="8"/>
        <v>33577.70999999996</v>
      </c>
      <c r="M30" s="75">
        <f t="shared" si="21"/>
        <v>743.6307006616848</v>
      </c>
      <c r="N30" s="76">
        <f t="shared" si="19"/>
        <v>34321.34070066165</v>
      </c>
      <c r="O30" s="16">
        <f t="shared" si="10"/>
        <v>0</v>
      </c>
      <c r="P30" s="16">
        <f t="shared" si="10"/>
        <v>0</v>
      </c>
      <c r="Q30" s="16">
        <f t="shared" si="10"/>
        <v>0</v>
      </c>
      <c r="R30" s="16">
        <f t="shared" si="10"/>
        <v>12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42.795481347945156</v>
      </c>
      <c r="AA30" s="63">
        <f>($L30+SUM($W30:Z30))*(S$11*S30)</f>
        <v>342.1001571444551</v>
      </c>
      <c r="AB30" s="63">
        <f>($L30+SUM($W30:AA30))*(T$11*T30)</f>
        <v>358.7350621692845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743.6307006616848</v>
      </c>
    </row>
    <row r="31" spans="1:31" ht="12.75">
      <c r="A31" s="3">
        <v>12</v>
      </c>
      <c r="B31" s="15">
        <f t="shared" si="13"/>
        <v>43070</v>
      </c>
      <c r="C31" s="378">
        <v>43104</v>
      </c>
      <c r="D31" s="358">
        <f t="shared" si="6"/>
        <v>43119</v>
      </c>
      <c r="E31" s="30" t="s">
        <v>143</v>
      </c>
      <c r="F31" s="3">
        <v>9</v>
      </c>
      <c r="G31" s="360">
        <f>+'[2]Load WS'!$P$10</f>
        <v>2828</v>
      </c>
      <c r="H31" s="247">
        <f t="shared" si="20"/>
        <v>1651.41</v>
      </c>
      <c r="I31" s="247">
        <f t="shared" si="14"/>
        <v>1666.38</v>
      </c>
      <c r="J31" s="85">
        <f>+$G31*I31</f>
        <v>4712522.640000001</v>
      </c>
      <c r="K31" s="86">
        <f t="shared" si="16"/>
        <v>4670187.48</v>
      </c>
      <c r="L31" s="87">
        <f t="shared" si="8"/>
        <v>42335.16000000015</v>
      </c>
      <c r="M31" s="88">
        <f t="shared" si="21"/>
        <v>795.4313089800957</v>
      </c>
      <c r="N31" s="89">
        <f t="shared" si="19"/>
        <v>43130.59130898024</v>
      </c>
      <c r="O31" s="16">
        <f t="shared" si="10"/>
        <v>0</v>
      </c>
      <c r="P31" s="16">
        <f t="shared" si="10"/>
        <v>0</v>
      </c>
      <c r="Q31" s="16">
        <f t="shared" si="10"/>
        <v>0</v>
      </c>
      <c r="R31" s="16">
        <f t="shared" si="10"/>
        <v>0</v>
      </c>
      <c r="S31" s="16">
        <f t="shared" si="22"/>
        <v>72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344.6198010739738</v>
      </c>
      <c r="AB31" s="63">
        <f>($L31+SUM($W31:AA31))*(T$11*T31)</f>
        <v>450.81150790612185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795.4313089800957</v>
      </c>
    </row>
    <row r="32" spans="1:31" ht="12.75">
      <c r="A32" s="16">
        <v>1</v>
      </c>
      <c r="B32" s="153">
        <f t="shared" si="13"/>
        <v>42736</v>
      </c>
      <c r="C32" s="242">
        <f aca="true" t="shared" si="24" ref="C32:D43">+C20</f>
        <v>42769</v>
      </c>
      <c r="D32" s="242">
        <f t="shared" si="24"/>
        <v>42786</v>
      </c>
      <c r="E32" s="154" t="s">
        <v>144</v>
      </c>
      <c r="F32" s="155">
        <v>9</v>
      </c>
      <c r="G32" s="359">
        <f>+'[2]Load WS'!$E$11</f>
        <v>2957</v>
      </c>
      <c r="H32" s="246">
        <f aca="true" t="shared" si="25" ref="H32:H37">$K$3</f>
        <v>1623.7</v>
      </c>
      <c r="I32" s="246">
        <f t="shared" si="14"/>
        <v>1666.38</v>
      </c>
      <c r="J32" s="56">
        <f t="shared" si="15"/>
        <v>4927485.66</v>
      </c>
      <c r="K32" s="57">
        <f t="shared" si="16"/>
        <v>4801280.9</v>
      </c>
      <c r="L32" s="58">
        <f t="shared" si="8"/>
        <v>126204.75999999978</v>
      </c>
      <c r="M32" s="55">
        <f t="shared" si="21"/>
        <v>6736.8691135180425</v>
      </c>
      <c r="N32" s="29">
        <f t="shared" si="19"/>
        <v>132941.62911351782</v>
      </c>
      <c r="O32" s="155">
        <f aca="true" t="shared" si="26" ref="O32:O79">IF($D32&lt;O$8,O$12,IF($D32&lt;P$8,P$8-$D32,0))</f>
        <v>40</v>
      </c>
      <c r="P32" s="155">
        <f aca="true" t="shared" si="27" ref="P32:P79">IF($D32&lt;P$8,P$12,IF($D32&lt;Q$8,Q$8-$D32,0))</f>
        <v>91</v>
      </c>
      <c r="Q32" s="155">
        <f aca="true" t="shared" si="28" ref="Q32:Q79">IF($D32&lt;Q$8,Q$12,IF($D32&lt;R$8,R$8-$D32,0))</f>
        <v>92</v>
      </c>
      <c r="R32" s="155">
        <f aca="true" t="shared" si="29" ref="R32:U59">IF($D32&lt;R$8,R$12,IF($D32&lt;S$8,S$8-$D32,0))</f>
        <v>92</v>
      </c>
      <c r="S32" s="155">
        <f t="shared" si="29"/>
        <v>90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484.07305205479366</v>
      </c>
      <c r="X32" s="159">
        <f>($L32+SUM($W32:W32))*(P$11*P32)</f>
        <v>1105.4902281391612</v>
      </c>
      <c r="Y32" s="159">
        <f>($L32+SUM($W32:X32))*(Q$11*Q32)</f>
        <v>1172.4866569882538</v>
      </c>
      <c r="Z32" s="159">
        <f>($L32+SUM($W32:Y32))*(R$11*R32)</f>
        <v>1260.1765110537644</v>
      </c>
      <c r="AA32" s="159">
        <f>($L32+SUM($W32:Z32))*(S$11*S32)</f>
        <v>1325.1041853938289</v>
      </c>
      <c r="AB32" s="159">
        <f>($L32+SUM($W32:AA32))*(T$11*T32)</f>
        <v>1389.5384798882403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6736.8691135180425</v>
      </c>
    </row>
    <row r="33" spans="1:31" ht="12.75">
      <c r="A33" s="3">
        <v>2</v>
      </c>
      <c r="B33" s="15">
        <f t="shared" si="13"/>
        <v>42767</v>
      </c>
      <c r="C33" s="243">
        <f t="shared" si="24"/>
        <v>42797</v>
      </c>
      <c r="D33" s="243">
        <f t="shared" si="24"/>
        <v>42814</v>
      </c>
      <c r="E33" s="70" t="s">
        <v>144</v>
      </c>
      <c r="F33" s="3">
        <v>9</v>
      </c>
      <c r="G33" s="359">
        <f>+'[2]Load WS'!$F$11</f>
        <v>2402</v>
      </c>
      <c r="H33" s="246">
        <f t="shared" si="25"/>
        <v>1623.7</v>
      </c>
      <c r="I33" s="246">
        <f t="shared" si="14"/>
        <v>1666.38</v>
      </c>
      <c r="J33" s="56">
        <f t="shared" si="15"/>
        <v>4002644.7600000002</v>
      </c>
      <c r="K33" s="57">
        <f t="shared" si="16"/>
        <v>3900127.4</v>
      </c>
      <c r="L33" s="58">
        <f t="shared" si="8"/>
        <v>102517.36000000034</v>
      </c>
      <c r="M33" s="55">
        <f t="shared" si="21"/>
        <v>5183.587317121817</v>
      </c>
      <c r="N33" s="29">
        <f t="shared" si="19"/>
        <v>107700.94731712215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117.9651813698634</v>
      </c>
      <c r="X33" s="63">
        <f>($L33+SUM($W33:W33))*(P$11*P33)</f>
        <v>895.5986594593536</v>
      </c>
      <c r="Y33" s="63">
        <f>($L33+SUM($W33:X33))*(Q$11*Q33)</f>
        <v>949.8749527621094</v>
      </c>
      <c r="Z33" s="63">
        <f>($L33+SUM($W33:Y33))*(R$11*R33)</f>
        <v>1020.9157577825691</v>
      </c>
      <c r="AA33" s="63">
        <f>($L33+SUM($W33:Z33))*(S$11*S33)</f>
        <v>1073.516076284394</v>
      </c>
      <c r="AB33" s="63">
        <f>($L33+SUM($W33:AA33))*(T$11*T33)</f>
        <v>1125.7166894635275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5183.587317121817</v>
      </c>
    </row>
    <row r="34" spans="1:31" ht="12.75">
      <c r="A34" s="3">
        <v>3</v>
      </c>
      <c r="B34" s="15">
        <f t="shared" si="13"/>
        <v>42795</v>
      </c>
      <c r="C34" s="243">
        <f t="shared" si="24"/>
        <v>42830</v>
      </c>
      <c r="D34" s="243">
        <f t="shared" si="24"/>
        <v>42845</v>
      </c>
      <c r="E34" s="70" t="s">
        <v>144</v>
      </c>
      <c r="F34" s="3">
        <v>9</v>
      </c>
      <c r="G34" s="359">
        <f>+'[2]Load WS'!$G$11</f>
        <v>2421</v>
      </c>
      <c r="H34" s="246">
        <f t="shared" si="25"/>
        <v>1623.7</v>
      </c>
      <c r="I34" s="246">
        <f t="shared" si="14"/>
        <v>1666.38</v>
      </c>
      <c r="J34" s="56">
        <f t="shared" si="15"/>
        <v>4034305.9800000004</v>
      </c>
      <c r="K34" s="57">
        <f aca="true" t="shared" si="32" ref="K34:K81">+$G34*H34</f>
        <v>3930977.7</v>
      </c>
      <c r="L34" s="58">
        <f t="shared" si="8"/>
        <v>103328.28000000026</v>
      </c>
      <c r="M34" s="55">
        <f t="shared" si="21"/>
        <v>4903.985093845659</v>
      </c>
      <c r="N34" s="29">
        <f>SUM(L34:M34)</f>
        <v>108232.26509384593</v>
      </c>
      <c r="O34" s="16">
        <f aca="true" t="shared" si="33" ref="O34:U34">IF($D34&lt;O$8,O$12,IF($D34&lt;P$8,P$8-$D34,0))</f>
        <v>0</v>
      </c>
      <c r="P34" s="16">
        <f t="shared" si="33"/>
        <v>72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713.3897687671251</v>
      </c>
      <c r="Y34" s="63">
        <f>($L34+SUM($W34:X34))*(Q$11*Q34)</f>
        <v>954.5609417031457</v>
      </c>
      <c r="Z34" s="63">
        <f>($L34+SUM($W34:Y34))*(R$11*R34)</f>
        <v>1025.9522101458906</v>
      </c>
      <c r="AA34" s="63">
        <f>($L34+SUM($W34:Z34))*(S$11*S34)</f>
        <v>1078.8120201840256</v>
      </c>
      <c r="AB34" s="63">
        <f>($L34+SUM($W34:AA34))*(T$11*T34)</f>
        <v>1131.2701530454722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4903.985093845659</v>
      </c>
    </row>
    <row r="35" spans="1:31" ht="12.75">
      <c r="A35" s="16">
        <v>4</v>
      </c>
      <c r="B35" s="15">
        <f t="shared" si="13"/>
        <v>42826</v>
      </c>
      <c r="C35" s="243">
        <f t="shared" si="24"/>
        <v>42858</v>
      </c>
      <c r="D35" s="243">
        <f t="shared" si="24"/>
        <v>42873</v>
      </c>
      <c r="E35" s="70" t="s">
        <v>144</v>
      </c>
      <c r="F35" s="3">
        <v>9</v>
      </c>
      <c r="G35" s="359">
        <f>+'[2]Load WS'!$H$11</f>
        <v>2421</v>
      </c>
      <c r="H35" s="246">
        <f t="shared" si="25"/>
        <v>1623.7</v>
      </c>
      <c r="I35" s="246">
        <f t="shared" si="14"/>
        <v>1666.38</v>
      </c>
      <c r="J35" s="56">
        <f t="shared" si="15"/>
        <v>4034305.9800000004</v>
      </c>
      <c r="K35" s="57">
        <f t="shared" si="32"/>
        <v>3930977.7</v>
      </c>
      <c r="L35" s="58">
        <f aca="true" t="shared" si="34" ref="L35:L57">+J35-K35</f>
        <v>103328.28000000026</v>
      </c>
      <c r="M35" s="55">
        <f t="shared" si="21"/>
        <v>4615.381426584098</v>
      </c>
      <c r="N35" s="29">
        <f aca="true" t="shared" si="35" ref="N35:N57">SUM(L35:M35)</f>
        <v>107943.66142658435</v>
      </c>
      <c r="O35" s="16">
        <f t="shared" si="26"/>
        <v>0</v>
      </c>
      <c r="P35" s="16">
        <f t="shared" si="27"/>
        <v>44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435.96041424657653</v>
      </c>
      <c r="Y35" s="63">
        <f>($L35+SUM($W35:X35))*(Q$11*Q35)</f>
        <v>952.0155843814514</v>
      </c>
      <c r="Z35" s="63">
        <f>($L35+SUM($W35:Y35))*(R$11*R35)</f>
        <v>1023.2164864684229</v>
      </c>
      <c r="AA35" s="63">
        <f>($L35+SUM($W35:Z35))*(S$11*S35)</f>
        <v>1075.9353446839705</v>
      </c>
      <c r="AB35" s="63">
        <f>($L35+SUM($W35:AA35))*(T$11*T35)</f>
        <v>1128.253596803677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4615.381426584098</v>
      </c>
    </row>
    <row r="36" spans="1:31" ht="12.75">
      <c r="A36" s="3">
        <v>5</v>
      </c>
      <c r="B36" s="15">
        <f t="shared" si="13"/>
        <v>42856</v>
      </c>
      <c r="C36" s="243">
        <f t="shared" si="24"/>
        <v>42891</v>
      </c>
      <c r="D36" s="243">
        <f t="shared" si="24"/>
        <v>42906</v>
      </c>
      <c r="E36" s="30" t="s">
        <v>144</v>
      </c>
      <c r="F36" s="3">
        <v>9</v>
      </c>
      <c r="G36" s="359">
        <f>+'[2]Load WS'!$I$11</f>
        <v>2898</v>
      </c>
      <c r="H36" s="246">
        <f t="shared" si="25"/>
        <v>1623.7</v>
      </c>
      <c r="I36" s="246">
        <f t="shared" si="14"/>
        <v>1666.38</v>
      </c>
      <c r="J36" s="56">
        <f t="shared" si="15"/>
        <v>4829169.24</v>
      </c>
      <c r="K36" s="57">
        <f t="shared" si="32"/>
        <v>4705482.600000001</v>
      </c>
      <c r="L36" s="58">
        <f t="shared" si="34"/>
        <v>123686.63999999966</v>
      </c>
      <c r="M36" s="55">
        <f t="shared" si="21"/>
        <v>5117.575195666579</v>
      </c>
      <c r="N36" s="29">
        <f t="shared" si="35"/>
        <v>128804.21519566624</v>
      </c>
      <c r="O36" s="16">
        <f t="shared" si="26"/>
        <v>0</v>
      </c>
      <c r="P36" s="16">
        <f t="shared" si="27"/>
        <v>11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130.46399013698598</v>
      </c>
      <c r="Y36" s="63">
        <f>($L36+SUM($W36:X36))*(Q$11*Q36)</f>
        <v>1135.9964872388207</v>
      </c>
      <c r="Z36" s="63">
        <f>($L36+SUM($W36:Y36))*(R$11*R36)</f>
        <v>1220.9572546737227</v>
      </c>
      <c r="AA36" s="63">
        <f>($L36+SUM($W36:Z36))*(S$11*S36)</f>
        <v>1283.8642477173444</v>
      </c>
      <c r="AB36" s="63">
        <f>($L36+SUM($W36:AA36))*(T$11*T36)</f>
        <v>1346.2932158997057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5117.575195666579</v>
      </c>
    </row>
    <row r="37" spans="1:31" ht="12.75">
      <c r="A37" s="3">
        <v>6</v>
      </c>
      <c r="B37" s="15">
        <f t="shared" si="13"/>
        <v>42887</v>
      </c>
      <c r="C37" s="243">
        <f t="shared" si="24"/>
        <v>42922</v>
      </c>
      <c r="D37" s="243">
        <f t="shared" si="24"/>
        <v>42937</v>
      </c>
      <c r="E37" s="30" t="s">
        <v>144</v>
      </c>
      <c r="F37" s="3">
        <v>9</v>
      </c>
      <c r="G37" s="359">
        <f>+'[2]Load WS'!$J$11</f>
        <v>3270</v>
      </c>
      <c r="H37" s="246">
        <f t="shared" si="25"/>
        <v>1623.7</v>
      </c>
      <c r="I37" s="246">
        <f t="shared" si="14"/>
        <v>1666.38</v>
      </c>
      <c r="J37" s="56">
        <f t="shared" si="15"/>
        <v>5449062.600000001</v>
      </c>
      <c r="K37" s="57">
        <f t="shared" si="32"/>
        <v>5309499</v>
      </c>
      <c r="L37" s="77">
        <f t="shared" si="34"/>
        <v>139563.60000000056</v>
      </c>
      <c r="M37" s="78">
        <f t="shared" si="21"/>
        <v>5334.407587775997</v>
      </c>
      <c r="N37" s="76">
        <f t="shared" si="35"/>
        <v>144898.00758777655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1002.1048846027436</v>
      </c>
      <c r="Z37" s="63">
        <f>($L37+SUM($W37:Y37))*(R$11*R37)</f>
        <v>1373.5130739573526</v>
      </c>
      <c r="AA37" s="63">
        <f>($L37+SUM($W37:Z37))*(S$11*S37)</f>
        <v>1444.2801520495732</v>
      </c>
      <c r="AB37" s="63">
        <f>($L37+SUM($W37:AA37))*(T$11*T37)</f>
        <v>1514.509477166328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5334.407587775997</v>
      </c>
    </row>
    <row r="38" spans="1:31" ht="12.75">
      <c r="A38" s="16">
        <v>7</v>
      </c>
      <c r="B38" s="15">
        <f t="shared" si="13"/>
        <v>42917</v>
      </c>
      <c r="C38" s="243">
        <f t="shared" si="24"/>
        <v>42950</v>
      </c>
      <c r="D38" s="243">
        <f t="shared" si="24"/>
        <v>42965</v>
      </c>
      <c r="E38" s="30" t="s">
        <v>144</v>
      </c>
      <c r="F38" s="3">
        <v>9</v>
      </c>
      <c r="G38" s="359">
        <f>+'[2]Load WS'!$K$11</f>
        <v>3520</v>
      </c>
      <c r="H38" s="246">
        <f aca="true" t="shared" si="36" ref="H38:H55">$K$8</f>
        <v>1651.41</v>
      </c>
      <c r="I38" s="246">
        <f t="shared" si="14"/>
        <v>1666.38</v>
      </c>
      <c r="J38" s="56">
        <f t="shared" si="15"/>
        <v>5865657.600000001</v>
      </c>
      <c r="K38" s="74">
        <f t="shared" si="32"/>
        <v>5812963.2</v>
      </c>
      <c r="L38" s="77">
        <f t="shared" si="34"/>
        <v>52694.40000000037</v>
      </c>
      <c r="M38" s="75">
        <f aca="true" t="shared" si="37" ref="M38:M85">+AE38</f>
        <v>1862.4132348168341</v>
      </c>
      <c r="N38" s="76">
        <f t="shared" si="35"/>
        <v>54556.81323481721</v>
      </c>
      <c r="O38" s="16">
        <f t="shared" si="26"/>
        <v>0</v>
      </c>
      <c r="P38" s="16">
        <f t="shared" si="27"/>
        <v>0</v>
      </c>
      <c r="Q38" s="16">
        <f t="shared" si="28"/>
        <v>44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231.22013983561803</v>
      </c>
      <c r="Z38" s="63">
        <f>($L38+SUM($W38:Y38))*(R$11*R38)</f>
        <v>517.1533929207206</v>
      </c>
      <c r="AA38" s="63">
        <f>($L38+SUM($W38:Z38))*(S$11*S38)</f>
        <v>543.7985230155025</v>
      </c>
      <c r="AB38" s="63">
        <f>($L38+SUM($W38:AA38))*(T$11*T38)</f>
        <v>570.2411790449927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1862.4132348168341</v>
      </c>
    </row>
    <row r="39" spans="1:31" ht="12.75">
      <c r="A39" s="3">
        <v>8</v>
      </c>
      <c r="B39" s="15">
        <f t="shared" si="13"/>
        <v>42948</v>
      </c>
      <c r="C39" s="243">
        <f t="shared" si="24"/>
        <v>42984</v>
      </c>
      <c r="D39" s="243">
        <f t="shared" si="24"/>
        <v>42999</v>
      </c>
      <c r="E39" s="30" t="s">
        <v>144</v>
      </c>
      <c r="F39" s="3">
        <v>9</v>
      </c>
      <c r="G39" s="359">
        <f>+'[2]Load WS'!$L$11</f>
        <v>3299</v>
      </c>
      <c r="H39" s="246">
        <f t="shared" si="36"/>
        <v>1651.41</v>
      </c>
      <c r="I39" s="246">
        <f t="shared" si="14"/>
        <v>1666.38</v>
      </c>
      <c r="J39" s="56">
        <f t="shared" si="15"/>
        <v>5497387.62</v>
      </c>
      <c r="K39" s="74">
        <f t="shared" si="32"/>
        <v>5448001.59</v>
      </c>
      <c r="L39" s="77">
        <f t="shared" si="34"/>
        <v>49386.03000000026</v>
      </c>
      <c r="M39" s="75">
        <f t="shared" si="37"/>
        <v>1572.8698795439714</v>
      </c>
      <c r="N39" s="76">
        <f t="shared" si="35"/>
        <v>50958.89987954423</v>
      </c>
      <c r="O39" s="16">
        <f t="shared" si="26"/>
        <v>0</v>
      </c>
      <c r="P39" s="16">
        <f t="shared" si="27"/>
        <v>0</v>
      </c>
      <c r="Q39" s="16">
        <f t="shared" si="28"/>
        <v>10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49.250725808219435</v>
      </c>
      <c r="Z39" s="63">
        <f>($L39+SUM($W39:Y39))*(R$11*R39)</f>
        <v>483.04815493503224</v>
      </c>
      <c r="AA39" s="63">
        <f>($L39+SUM($W39:Z39))*(S$11*S39)</f>
        <v>507.93609167967503</v>
      </c>
      <c r="AB39" s="63">
        <f>($L39+SUM($W39:AA39))*(T$11*T39)</f>
        <v>532.6349071210446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1572.8698795439714</v>
      </c>
    </row>
    <row r="40" spans="1:31" ht="12.75">
      <c r="A40" s="3">
        <v>9</v>
      </c>
      <c r="B40" s="15">
        <f t="shared" si="13"/>
        <v>42979</v>
      </c>
      <c r="C40" s="243">
        <f t="shared" si="24"/>
        <v>43012</v>
      </c>
      <c r="D40" s="243">
        <f t="shared" si="24"/>
        <v>43027</v>
      </c>
      <c r="E40" s="30" t="s">
        <v>144</v>
      </c>
      <c r="F40" s="3">
        <v>9</v>
      </c>
      <c r="G40" s="359">
        <f>+'[2]Load WS'!$M$11</f>
        <v>3316</v>
      </c>
      <c r="H40" s="246">
        <f t="shared" si="36"/>
        <v>1651.41</v>
      </c>
      <c r="I40" s="246">
        <f t="shared" si="14"/>
        <v>1666.38</v>
      </c>
      <c r="J40" s="56">
        <f t="shared" si="15"/>
        <v>5525716.08</v>
      </c>
      <c r="K40" s="74">
        <f t="shared" si="32"/>
        <v>5476075.5600000005</v>
      </c>
      <c r="L40" s="77">
        <f t="shared" si="34"/>
        <v>49640.51999999955</v>
      </c>
      <c r="M40" s="75">
        <f t="shared" si="37"/>
        <v>1433.0646604089836</v>
      </c>
      <c r="N40" s="76">
        <f t="shared" si="35"/>
        <v>51073.58466040854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74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390.1518202958868</v>
      </c>
      <c r="AA40" s="63">
        <f>($L40+SUM($W40:Z40))*(S$11*S40)</f>
        <v>509.0792195632253</v>
      </c>
      <c r="AB40" s="63">
        <f>($L40+SUM($W40:AA40))*(T$11*T40)</f>
        <v>533.8336205498715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1433.0646604089836</v>
      </c>
    </row>
    <row r="41" spans="1:31" ht="12.75">
      <c r="A41" s="16">
        <v>10</v>
      </c>
      <c r="B41" s="15">
        <f t="shared" si="13"/>
        <v>43009</v>
      </c>
      <c r="C41" s="243">
        <f t="shared" si="24"/>
        <v>43042</v>
      </c>
      <c r="D41" s="243">
        <f t="shared" si="24"/>
        <v>43059</v>
      </c>
      <c r="E41" s="30" t="s">
        <v>144</v>
      </c>
      <c r="F41" s="3">
        <v>9</v>
      </c>
      <c r="G41" s="359">
        <f>+'[2]Load WS'!$N$11</f>
        <v>3234</v>
      </c>
      <c r="H41" s="246">
        <f t="shared" si="36"/>
        <v>1651.41</v>
      </c>
      <c r="I41" s="246">
        <f t="shared" si="14"/>
        <v>1666.38</v>
      </c>
      <c r="J41" s="56">
        <f t="shared" si="15"/>
        <v>5389072.92</v>
      </c>
      <c r="K41" s="74">
        <f t="shared" si="32"/>
        <v>5340659.94</v>
      </c>
      <c r="L41" s="77">
        <f t="shared" si="34"/>
        <v>48412.979999999516</v>
      </c>
      <c r="M41" s="75">
        <f t="shared" si="37"/>
        <v>1229.6547996592185</v>
      </c>
      <c r="N41" s="76">
        <f t="shared" si="35"/>
        <v>49642.634799658736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215.96168229040876</v>
      </c>
      <c r="AA41" s="63">
        <f>($L41+SUM($W41:Z41))*(S$11*S41)</f>
        <v>494.8161353644514</v>
      </c>
      <c r="AB41" s="63">
        <f>($L41+SUM($W41:AA41))*(T$11*T41)</f>
        <v>518.8769820043583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1229.6547996592185</v>
      </c>
    </row>
    <row r="42" spans="1:31" ht="12.75">
      <c r="A42" s="3">
        <v>11</v>
      </c>
      <c r="B42" s="15">
        <f t="shared" si="13"/>
        <v>43040</v>
      </c>
      <c r="C42" s="243">
        <f t="shared" si="24"/>
        <v>43074</v>
      </c>
      <c r="D42" s="243">
        <f t="shared" si="24"/>
        <v>43089</v>
      </c>
      <c r="E42" s="30" t="s">
        <v>144</v>
      </c>
      <c r="F42" s="3">
        <v>9</v>
      </c>
      <c r="G42" s="359">
        <f>+'[2]Load WS'!$O$11</f>
        <v>2406</v>
      </c>
      <c r="H42" s="246">
        <f t="shared" si="36"/>
        <v>1651.41</v>
      </c>
      <c r="I42" s="246">
        <f t="shared" si="14"/>
        <v>1666.38</v>
      </c>
      <c r="J42" s="56">
        <f t="shared" si="15"/>
        <v>4009310.2800000003</v>
      </c>
      <c r="K42" s="74">
        <f t="shared" si="32"/>
        <v>3973292.4600000004</v>
      </c>
      <c r="L42" s="77">
        <f t="shared" si="34"/>
        <v>36017.81999999983</v>
      </c>
      <c r="M42" s="75">
        <f t="shared" si="37"/>
        <v>797.6707382041941</v>
      </c>
      <c r="N42" s="76">
        <f t="shared" si="35"/>
        <v>36815.490738204026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12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45.90545168219156</v>
      </c>
      <c r="AA42" s="63">
        <f>($L42+SUM($W42:Z42))*(S$11*S42)</f>
        <v>366.9607570617727</v>
      </c>
      <c r="AB42" s="63">
        <f>($L42+SUM($W42:AA42))*(T$11*T42)</f>
        <v>384.80452946022984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797.6707382041941</v>
      </c>
    </row>
    <row r="43" spans="1:31" ht="12.75">
      <c r="A43" s="3">
        <v>12</v>
      </c>
      <c r="B43" s="15">
        <f t="shared" si="13"/>
        <v>43070</v>
      </c>
      <c r="C43" s="243">
        <f t="shared" si="24"/>
        <v>43104</v>
      </c>
      <c r="D43" s="243">
        <f t="shared" si="24"/>
        <v>43119</v>
      </c>
      <c r="E43" s="30" t="s">
        <v>144</v>
      </c>
      <c r="F43" s="3">
        <v>9</v>
      </c>
      <c r="G43" s="360">
        <f>+'[2]Load WS'!$P$11</f>
        <v>2681</v>
      </c>
      <c r="H43" s="247">
        <f t="shared" si="36"/>
        <v>1651.41</v>
      </c>
      <c r="I43" s="247">
        <f t="shared" si="14"/>
        <v>1666.38</v>
      </c>
      <c r="J43" s="85">
        <f t="shared" si="15"/>
        <v>4467564.78</v>
      </c>
      <c r="K43" s="86">
        <f t="shared" si="32"/>
        <v>4427430.21</v>
      </c>
      <c r="L43" s="87">
        <f t="shared" si="34"/>
        <v>40134.5700000003</v>
      </c>
      <c r="M43" s="88">
        <f t="shared" si="37"/>
        <v>754.084632028163</v>
      </c>
      <c r="N43" s="89">
        <f t="shared" si="35"/>
        <v>40888.65463202846</v>
      </c>
      <c r="O43" s="367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72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42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326.7063955726052</v>
      </c>
      <c r="AB43" s="90">
        <f>($L43+SUM($W43:AA43))*(T$11*T43)</f>
        <v>427.3782364555578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754.084632028163</v>
      </c>
    </row>
    <row r="44" spans="1:31" ht="12.75">
      <c r="A44" s="16">
        <v>1</v>
      </c>
      <c r="B44" s="153">
        <f aca="true" t="shared" si="39" ref="B44:B55">DATE($N$1,A44,1)</f>
        <v>42736</v>
      </c>
      <c r="C44" s="242">
        <f aca="true" t="shared" si="40" ref="C44:D55">+C32</f>
        <v>42769</v>
      </c>
      <c r="D44" s="242">
        <f t="shared" si="40"/>
        <v>42786</v>
      </c>
      <c r="E44" s="154" t="s">
        <v>341</v>
      </c>
      <c r="F44" s="155">
        <v>9</v>
      </c>
      <c r="G44" s="361">
        <f>+'[2]Load WS'!$E$27</f>
        <v>174</v>
      </c>
      <c r="H44" s="246">
        <f aca="true" t="shared" si="41" ref="H44:H49">$K$3</f>
        <v>1623.7</v>
      </c>
      <c r="I44" s="246">
        <f t="shared" si="14"/>
        <v>1666.38</v>
      </c>
      <c r="J44" s="55">
        <f aca="true" t="shared" si="42" ref="J44:J55">+$G44*I44</f>
        <v>289950.12</v>
      </c>
      <c r="K44" s="74">
        <f aca="true" t="shared" si="43" ref="K44:K55">+$G44*H44</f>
        <v>282523.8</v>
      </c>
      <c r="L44" s="77">
        <f aca="true" t="shared" si="44" ref="L44:L55">+J44-K44</f>
        <v>7426.320000000007</v>
      </c>
      <c r="M44" s="75">
        <f aca="true" t="shared" si="45" ref="M44:M55">+AE44</f>
        <v>396.4204348164161</v>
      </c>
      <c r="N44" s="76">
        <f t="shared" si="35"/>
        <v>7822.740434816423</v>
      </c>
      <c r="O44" s="16">
        <f aca="true" t="shared" si="46" ref="O44:O55">IF($D44&lt;O$8,O$12,IF($D44&lt;P$8,P$8-$D44,0))</f>
        <v>40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90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41">
        <f aca="true" t="shared" si="54" ref="W44:W55">$L44*O$11*O44</f>
        <v>28.48451506849318</v>
      </c>
      <c r="X44" s="63">
        <f>($L44+SUM($W44:W44))*(P$11*P44)</f>
        <v>65.05082843970733</v>
      </c>
      <c r="Y44" s="63">
        <f>($L44+SUM($W44:X44))*(Q$11*Q44)</f>
        <v>68.99312760093227</v>
      </c>
      <c r="Z44" s="63">
        <f>($L44+SUM($W44:Y44))*(R$11*R44)</f>
        <v>74.15309872281217</v>
      </c>
      <c r="AA44" s="63">
        <f>($L44+SUM($W44:Z44))*(S$11*S44)</f>
        <v>77.97366528864622</v>
      </c>
      <c r="AB44" s="63">
        <f>($L44+SUM($W44:AA44))*(T$11*T44)</f>
        <v>81.76519969582498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396.4204348164161</v>
      </c>
    </row>
    <row r="45" spans="1:31" ht="12.75">
      <c r="A45" s="3">
        <v>2</v>
      </c>
      <c r="B45" s="15">
        <f t="shared" si="39"/>
        <v>42767</v>
      </c>
      <c r="C45" s="243">
        <f t="shared" si="40"/>
        <v>42797</v>
      </c>
      <c r="D45" s="243">
        <f t="shared" si="40"/>
        <v>42814</v>
      </c>
      <c r="E45" s="70" t="s">
        <v>341</v>
      </c>
      <c r="F45" s="3">
        <v>9</v>
      </c>
      <c r="G45" s="361">
        <f>+'[2]Load WS'!$F$27</f>
        <v>106</v>
      </c>
      <c r="H45" s="246">
        <f t="shared" si="41"/>
        <v>1623.7</v>
      </c>
      <c r="I45" s="246">
        <f t="shared" si="14"/>
        <v>1666.38</v>
      </c>
      <c r="J45" s="55">
        <f t="shared" si="42"/>
        <v>176636.28</v>
      </c>
      <c r="K45" s="74">
        <f t="shared" si="43"/>
        <v>172112.2</v>
      </c>
      <c r="L45" s="77">
        <f t="shared" si="44"/>
        <v>4524.079999999987</v>
      </c>
      <c r="M45" s="75">
        <f t="shared" si="45"/>
        <v>228.7511472168648</v>
      </c>
      <c r="N45" s="76">
        <f t="shared" si="35"/>
        <v>4752.831147216852</v>
      </c>
      <c r="O45" s="16">
        <f t="shared" si="46"/>
        <v>12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90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41">
        <f t="shared" si="54"/>
        <v>5.205790684931492</v>
      </c>
      <c r="X45" s="63">
        <f>($L45+SUM($W45:W45))*(P$11*P45)</f>
        <v>39.52267189953826</v>
      </c>
      <c r="Y45" s="63">
        <f>($L45+SUM($W45:X45))*(Q$11*Q45)</f>
        <v>41.91787884795295</v>
      </c>
      <c r="Z45" s="63">
        <f>($L45+SUM($W45:Y45))*(R$11*R45)</f>
        <v>45.05290188382667</v>
      </c>
      <c r="AA45" s="63">
        <f>($L45+SUM($W45:Z45))*(S$11*S45)</f>
        <v>47.37414824568905</v>
      </c>
      <c r="AB45" s="63">
        <f>($L45+SUM($W45:AA45))*(T$11*T45)</f>
        <v>49.677755654926386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228.7511472168648</v>
      </c>
    </row>
    <row r="46" spans="1:31" ht="12.75">
      <c r="A46" s="3">
        <v>3</v>
      </c>
      <c r="B46" s="15">
        <f t="shared" si="39"/>
        <v>42795</v>
      </c>
      <c r="C46" s="243">
        <f t="shared" si="40"/>
        <v>42830</v>
      </c>
      <c r="D46" s="243">
        <f t="shared" si="40"/>
        <v>42845</v>
      </c>
      <c r="E46" s="70" t="s">
        <v>341</v>
      </c>
      <c r="F46" s="3">
        <v>9</v>
      </c>
      <c r="G46" s="361">
        <f>+'[2]Load WS'!$G$27</f>
        <v>84</v>
      </c>
      <c r="H46" s="246">
        <f t="shared" si="41"/>
        <v>1623.7</v>
      </c>
      <c r="I46" s="246">
        <f t="shared" si="14"/>
        <v>1666.38</v>
      </c>
      <c r="J46" s="55">
        <f t="shared" si="42"/>
        <v>139975.92</v>
      </c>
      <c r="K46" s="74">
        <f t="shared" si="43"/>
        <v>136390.80000000002</v>
      </c>
      <c r="L46" s="77">
        <f t="shared" si="44"/>
        <v>3585.1199999999953</v>
      </c>
      <c r="M46" s="75">
        <f t="shared" si="45"/>
        <v>170.15066000951418</v>
      </c>
      <c r="N46" s="76">
        <f t="shared" si="35"/>
        <v>3755.2706600095094</v>
      </c>
      <c r="O46" s="16">
        <f t="shared" si="46"/>
        <v>0</v>
      </c>
      <c r="P46" s="16">
        <f t="shared" si="47"/>
        <v>72</v>
      </c>
      <c r="Q46" s="16">
        <f t="shared" si="48"/>
        <v>92</v>
      </c>
      <c r="R46" s="16">
        <f t="shared" si="49"/>
        <v>92</v>
      </c>
      <c r="S46" s="16">
        <f t="shared" si="50"/>
        <v>90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41">
        <f t="shared" si="54"/>
        <v>0</v>
      </c>
      <c r="X46" s="63">
        <f>($L46+SUM($W46:W46))*(P$11*P46)</f>
        <v>24.752061369862982</v>
      </c>
      <c r="Y46" s="63">
        <f>($L46+SUM($W46:X46))*(Q$11*Q46)</f>
        <v>33.11983440853528</v>
      </c>
      <c r="Z46" s="63">
        <f>($L46+SUM($W46:Y46))*(R$11*R46)</f>
        <v>35.596854874950225</v>
      </c>
      <c r="AA46" s="63">
        <f>($L46+SUM($W46:Z46))*(S$11*S46)</f>
        <v>37.430900328565805</v>
      </c>
      <c r="AB46" s="63">
        <f>($L46+SUM($W46:AA46))*(T$11*T46)</f>
        <v>39.25100902759988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170.15066000951418</v>
      </c>
    </row>
    <row r="47" spans="1:31" ht="12.75">
      <c r="A47" s="16">
        <v>4</v>
      </c>
      <c r="B47" s="15">
        <f t="shared" si="39"/>
        <v>42826</v>
      </c>
      <c r="C47" s="243">
        <f t="shared" si="40"/>
        <v>42858</v>
      </c>
      <c r="D47" s="243">
        <f t="shared" si="40"/>
        <v>42873</v>
      </c>
      <c r="E47" s="70" t="s">
        <v>341</v>
      </c>
      <c r="F47" s="3">
        <v>9</v>
      </c>
      <c r="G47" s="361">
        <f>+'[2]Load WS'!$H$27</f>
        <v>72</v>
      </c>
      <c r="H47" s="246">
        <f t="shared" si="41"/>
        <v>1623.7</v>
      </c>
      <c r="I47" s="246">
        <f t="shared" si="14"/>
        <v>1666.38</v>
      </c>
      <c r="J47" s="55">
        <f t="shared" si="42"/>
        <v>119979.36000000002</v>
      </c>
      <c r="K47" s="74">
        <f t="shared" si="43"/>
        <v>116906.40000000001</v>
      </c>
      <c r="L47" s="77">
        <f t="shared" si="44"/>
        <v>3072.9600000000064</v>
      </c>
      <c r="M47" s="75">
        <f t="shared" si="45"/>
        <v>137.26041417350473</v>
      </c>
      <c r="N47" s="76">
        <f t="shared" si="35"/>
        <v>3210.220414173511</v>
      </c>
      <c r="O47" s="16">
        <f t="shared" si="46"/>
        <v>0</v>
      </c>
      <c r="P47" s="16">
        <f t="shared" si="47"/>
        <v>44</v>
      </c>
      <c r="Q47" s="16">
        <f t="shared" si="48"/>
        <v>92</v>
      </c>
      <c r="R47" s="16">
        <f t="shared" si="49"/>
        <v>92</v>
      </c>
      <c r="S47" s="16">
        <f t="shared" si="50"/>
        <v>90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41">
        <f t="shared" si="54"/>
        <v>0</v>
      </c>
      <c r="X47" s="63">
        <f>($L47+SUM($W47:W47))*(P$11*P47)</f>
        <v>12.965365479452084</v>
      </c>
      <c r="Y47" s="63">
        <f>($L47+SUM($W47:X47))*(Q$11*Q47)</f>
        <v>28.312731134020844</v>
      </c>
      <c r="Z47" s="63">
        <f>($L47+SUM($W47:Y47))*(R$11*R47)</f>
        <v>30.430230080845277</v>
      </c>
      <c r="AA47" s="63">
        <f>($L47+SUM($W47:Z47))*(S$11*S47)</f>
        <v>31.998077165322524</v>
      </c>
      <c r="AB47" s="63">
        <f>($L47+SUM($W47:AA47))*(T$11*T47)</f>
        <v>33.55401031386399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137.26041417350473</v>
      </c>
    </row>
    <row r="48" spans="1:31" ht="12.75">
      <c r="A48" s="3">
        <v>5</v>
      </c>
      <c r="B48" s="15">
        <f t="shared" si="39"/>
        <v>42856</v>
      </c>
      <c r="C48" s="243">
        <f t="shared" si="40"/>
        <v>42891</v>
      </c>
      <c r="D48" s="243">
        <f t="shared" si="40"/>
        <v>42906</v>
      </c>
      <c r="E48" s="70" t="s">
        <v>341</v>
      </c>
      <c r="F48" s="3">
        <v>9</v>
      </c>
      <c r="G48" s="361">
        <f>+'[2]Load WS'!$I$27</f>
        <v>98</v>
      </c>
      <c r="H48" s="246">
        <f t="shared" si="41"/>
        <v>1623.7</v>
      </c>
      <c r="I48" s="246">
        <f t="shared" si="14"/>
        <v>1666.38</v>
      </c>
      <c r="J48" s="55">
        <f t="shared" si="42"/>
        <v>163305.24000000002</v>
      </c>
      <c r="K48" s="74">
        <f t="shared" si="43"/>
        <v>159122.6</v>
      </c>
      <c r="L48" s="77">
        <f t="shared" si="44"/>
        <v>4182.640000000014</v>
      </c>
      <c r="M48" s="75">
        <f t="shared" si="45"/>
        <v>173.05809840418488</v>
      </c>
      <c r="N48" s="76">
        <f t="shared" si="35"/>
        <v>4355.698098404198</v>
      </c>
      <c r="O48" s="16">
        <f t="shared" si="46"/>
        <v>0</v>
      </c>
      <c r="P48" s="16">
        <f t="shared" si="47"/>
        <v>11</v>
      </c>
      <c r="Q48" s="16">
        <f t="shared" si="48"/>
        <v>92</v>
      </c>
      <c r="R48" s="16">
        <f t="shared" si="49"/>
        <v>92</v>
      </c>
      <c r="S48" s="16">
        <f t="shared" si="50"/>
        <v>90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41">
        <f t="shared" si="54"/>
        <v>0</v>
      </c>
      <c r="X48" s="63">
        <f>($L48+SUM($W48:W48))*(P$11*P48)</f>
        <v>4.411825753424673</v>
      </c>
      <c r="Y48" s="63">
        <f>($L48+SUM($W48:X48))*(Q$11*Q48)</f>
        <v>38.41534014817291</v>
      </c>
      <c r="Z48" s="63">
        <f>($L48+SUM($W48:Y48))*(R$11*R48)</f>
        <v>41.288409578338694</v>
      </c>
      <c r="AA48" s="63">
        <f>($L48+SUM($W48:Z48))*(S$11*S48)</f>
        <v>43.41569919817133</v>
      </c>
      <c r="AB48" s="63">
        <f>($L48+SUM($W48:AA48))*(T$11*T48)</f>
        <v>45.52682372607728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173.05809840418488</v>
      </c>
    </row>
    <row r="49" spans="1:31" ht="12.75">
      <c r="A49" s="3">
        <v>6</v>
      </c>
      <c r="B49" s="15">
        <f t="shared" si="39"/>
        <v>42887</v>
      </c>
      <c r="C49" s="243">
        <f t="shared" si="40"/>
        <v>42922</v>
      </c>
      <c r="D49" s="243">
        <f t="shared" si="40"/>
        <v>42937</v>
      </c>
      <c r="E49" s="70" t="s">
        <v>341</v>
      </c>
      <c r="F49" s="3">
        <v>9</v>
      </c>
      <c r="G49" s="361">
        <f>+'[2]Load WS'!$J$27</f>
        <v>126</v>
      </c>
      <c r="H49" s="246">
        <f t="shared" si="41"/>
        <v>1623.7</v>
      </c>
      <c r="I49" s="246">
        <f t="shared" si="14"/>
        <v>1666.38</v>
      </c>
      <c r="J49" s="55">
        <f t="shared" si="42"/>
        <v>209963.88</v>
      </c>
      <c r="K49" s="74">
        <f t="shared" si="43"/>
        <v>204586.2</v>
      </c>
      <c r="L49" s="77">
        <f t="shared" si="44"/>
        <v>5377.679999999993</v>
      </c>
      <c r="M49" s="75">
        <f t="shared" si="45"/>
        <v>205.54598044641352</v>
      </c>
      <c r="N49" s="76">
        <f t="shared" si="35"/>
        <v>5583.2259804464065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90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41">
        <f t="shared" si="54"/>
        <v>0</v>
      </c>
      <c r="X49" s="63">
        <f>($L49+SUM($W49:W49))*(P$11*P49)</f>
        <v>0</v>
      </c>
      <c r="Y49" s="63">
        <f>($L49+SUM($W49:X49))*(Q$11*Q49)</f>
        <v>38.61321573698625</v>
      </c>
      <c r="Z49" s="63">
        <f>($L49+SUM($W49:Y49))*(R$11*R49)</f>
        <v>52.924356978172945</v>
      </c>
      <c r="AA49" s="63">
        <f>($L49+SUM($W49:Z49))*(S$11*S49)</f>
        <v>55.65116182209336</v>
      </c>
      <c r="AB49" s="63">
        <f>($L49+SUM($W49:AA49))*(T$11*T49)</f>
        <v>58.357245909160945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205.54598044641352</v>
      </c>
    </row>
    <row r="50" spans="1:31" ht="12.75">
      <c r="A50" s="16">
        <v>7</v>
      </c>
      <c r="B50" s="15">
        <f t="shared" si="39"/>
        <v>42917</v>
      </c>
      <c r="C50" s="243">
        <f t="shared" si="40"/>
        <v>42950</v>
      </c>
      <c r="D50" s="243">
        <f t="shared" si="40"/>
        <v>42965</v>
      </c>
      <c r="E50" s="70" t="s">
        <v>341</v>
      </c>
      <c r="F50" s="3">
        <v>9</v>
      </c>
      <c r="G50" s="361">
        <f>+'[2]Load WS'!$K$27</f>
        <v>137</v>
      </c>
      <c r="H50" s="246">
        <f t="shared" si="36"/>
        <v>1651.41</v>
      </c>
      <c r="I50" s="246">
        <f t="shared" si="14"/>
        <v>1666.38</v>
      </c>
      <c r="J50" s="55">
        <f t="shared" si="42"/>
        <v>228294.06000000003</v>
      </c>
      <c r="K50" s="74">
        <f t="shared" si="43"/>
        <v>226243.17</v>
      </c>
      <c r="L50" s="77">
        <f t="shared" si="44"/>
        <v>2050.890000000014</v>
      </c>
      <c r="M50" s="75">
        <f t="shared" si="45"/>
        <v>72.48596965054153</v>
      </c>
      <c r="N50" s="76">
        <f t="shared" si="35"/>
        <v>2123.3759696505554</v>
      </c>
      <c r="O50" s="16">
        <f t="shared" si="46"/>
        <v>0</v>
      </c>
      <c r="P50" s="16">
        <f t="shared" si="47"/>
        <v>0</v>
      </c>
      <c r="Q50" s="16">
        <f t="shared" si="48"/>
        <v>44</v>
      </c>
      <c r="R50" s="16">
        <f t="shared" si="49"/>
        <v>92</v>
      </c>
      <c r="S50" s="16">
        <f t="shared" si="50"/>
        <v>90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41">
        <f t="shared" si="54"/>
        <v>0</v>
      </c>
      <c r="X50" s="63">
        <f>($L50+SUM($W50:W50))*(P$11*P50)</f>
        <v>0</v>
      </c>
      <c r="Y50" s="63">
        <f>($L50+SUM($W50:X50))*(Q$11*Q50)</f>
        <v>8.999192942465813</v>
      </c>
      <c r="Z50" s="63">
        <f>($L50+SUM($W50:Y50))*(R$11*R50)</f>
        <v>20.127845122198497</v>
      </c>
      <c r="AA50" s="63">
        <f>($L50+SUM($W50:Z50))*(S$11*S50)</f>
        <v>21.164885696910176</v>
      </c>
      <c r="AB50" s="63">
        <f>($L50+SUM($W50:AA50))*(T$11*T50)</f>
        <v>22.194045888967043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72.48596965054153</v>
      </c>
    </row>
    <row r="51" spans="1:31" ht="12.75">
      <c r="A51" s="3">
        <v>8</v>
      </c>
      <c r="B51" s="15">
        <f t="shared" si="39"/>
        <v>42948</v>
      </c>
      <c r="C51" s="243">
        <f t="shared" si="40"/>
        <v>42984</v>
      </c>
      <c r="D51" s="243">
        <f t="shared" si="40"/>
        <v>42999</v>
      </c>
      <c r="E51" s="70" t="s">
        <v>341</v>
      </c>
      <c r="F51" s="3">
        <v>9</v>
      </c>
      <c r="G51" s="361">
        <f>+'[2]Load WS'!$L$27</f>
        <v>138</v>
      </c>
      <c r="H51" s="246">
        <f t="shared" si="36"/>
        <v>1651.41</v>
      </c>
      <c r="I51" s="246">
        <f t="shared" si="14"/>
        <v>1666.38</v>
      </c>
      <c r="J51" s="55">
        <f t="shared" si="42"/>
        <v>229960.44</v>
      </c>
      <c r="K51" s="74">
        <f t="shared" si="43"/>
        <v>227894.58000000002</v>
      </c>
      <c r="L51" s="77">
        <f t="shared" si="44"/>
        <v>2065.859999999986</v>
      </c>
      <c r="M51" s="75">
        <f t="shared" si="45"/>
        <v>65.7944963252699</v>
      </c>
      <c r="N51" s="76">
        <f t="shared" si="35"/>
        <v>2131.654496325256</v>
      </c>
      <c r="O51" s="16">
        <f t="shared" si="46"/>
        <v>0</v>
      </c>
      <c r="P51" s="16">
        <f t="shared" si="47"/>
        <v>0</v>
      </c>
      <c r="Q51" s="16">
        <f t="shared" si="48"/>
        <v>10</v>
      </c>
      <c r="R51" s="16">
        <f t="shared" si="49"/>
        <v>92</v>
      </c>
      <c r="S51" s="16">
        <f t="shared" si="50"/>
        <v>90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41">
        <f t="shared" si="54"/>
        <v>0</v>
      </c>
      <c r="X51" s="63">
        <f>($L51+SUM($W51:W51))*(P$11*P51)</f>
        <v>0</v>
      </c>
      <c r="Y51" s="63">
        <f>($L51+SUM($W51:X51))*(Q$11*Q51)</f>
        <v>2.060200109589027</v>
      </c>
      <c r="Z51" s="63">
        <f>($L51+SUM($W51:Y51))*(R$11*R51)</f>
        <v>20.20631869688804</v>
      </c>
      <c r="AA51" s="63">
        <f>($L51+SUM($W51:Z51))*(S$11*S51)</f>
        <v>21.24740244067727</v>
      </c>
      <c r="AB51" s="63">
        <f>($L51+SUM($W51:AA51))*(T$11*T51)</f>
        <v>22.280575078115575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65.7944963252699</v>
      </c>
    </row>
    <row r="52" spans="1:31" ht="12.75">
      <c r="A52" s="3">
        <v>9</v>
      </c>
      <c r="B52" s="15">
        <f t="shared" si="39"/>
        <v>42979</v>
      </c>
      <c r="C52" s="243">
        <f t="shared" si="40"/>
        <v>43012</v>
      </c>
      <c r="D52" s="243">
        <f t="shared" si="40"/>
        <v>43027</v>
      </c>
      <c r="E52" s="70" t="s">
        <v>341</v>
      </c>
      <c r="F52" s="3">
        <v>9</v>
      </c>
      <c r="G52" s="361">
        <f>+'[2]Load WS'!$M$27</f>
        <v>109</v>
      </c>
      <c r="H52" s="246">
        <f t="shared" si="36"/>
        <v>1651.41</v>
      </c>
      <c r="I52" s="246">
        <f t="shared" si="14"/>
        <v>1666.38</v>
      </c>
      <c r="J52" s="55">
        <f t="shared" si="42"/>
        <v>181635.42</v>
      </c>
      <c r="K52" s="74">
        <f t="shared" si="43"/>
        <v>180003.69</v>
      </c>
      <c r="L52" s="77">
        <f t="shared" si="44"/>
        <v>1631.7300000000105</v>
      </c>
      <c r="M52" s="75">
        <f t="shared" si="45"/>
        <v>47.106166460971544</v>
      </c>
      <c r="N52" s="76">
        <f t="shared" si="35"/>
        <v>1678.836166460982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74</v>
      </c>
      <c r="S52" s="16">
        <f t="shared" si="50"/>
        <v>90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41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12.824652717808299</v>
      </c>
      <c r="AA52" s="63">
        <f>($L52+SUM($W52:Z52))*(S$11*S52)</f>
        <v>16.733906795051997</v>
      </c>
      <c r="AB52" s="63">
        <f>($L52+SUM($W52:AA52))*(T$11*T52)</f>
        <v>17.547606948111248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47.106166460971544</v>
      </c>
    </row>
    <row r="53" spans="1:31" ht="12.75">
      <c r="A53" s="16">
        <v>10</v>
      </c>
      <c r="B53" s="15">
        <f t="shared" si="39"/>
        <v>43009</v>
      </c>
      <c r="C53" s="243">
        <f t="shared" si="40"/>
        <v>43042</v>
      </c>
      <c r="D53" s="243">
        <f t="shared" si="40"/>
        <v>43059</v>
      </c>
      <c r="E53" s="70" t="s">
        <v>341</v>
      </c>
      <c r="F53" s="3">
        <v>9</v>
      </c>
      <c r="G53" s="361">
        <f>+'[2]Load WS'!$N$27</f>
        <v>124</v>
      </c>
      <c r="H53" s="246">
        <f t="shared" si="36"/>
        <v>1651.41</v>
      </c>
      <c r="I53" s="246">
        <f t="shared" si="14"/>
        <v>1666.38</v>
      </c>
      <c r="J53" s="55">
        <f t="shared" si="42"/>
        <v>206631.12000000002</v>
      </c>
      <c r="K53" s="74">
        <f t="shared" si="43"/>
        <v>204774.84</v>
      </c>
      <c r="L53" s="77">
        <f t="shared" si="44"/>
        <v>1856.280000000028</v>
      </c>
      <c r="M53" s="75">
        <f t="shared" si="45"/>
        <v>47.14817413659459</v>
      </c>
      <c r="N53" s="76">
        <f t="shared" si="35"/>
        <v>1903.4281741366226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42</v>
      </c>
      <c r="S53" s="16">
        <f t="shared" si="50"/>
        <v>90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41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8.280534509589165</v>
      </c>
      <c r="AA53" s="63">
        <f>($L53+SUM($W53:Z53))*(S$11*S53)</f>
        <v>18.97254198676361</v>
      </c>
      <c r="AB53" s="63">
        <f>($L53+SUM($W53:AA53))*(T$11*T53)</f>
        <v>19.89509764024182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47.14817413659459</v>
      </c>
    </row>
    <row r="54" spans="1:31" ht="12.75">
      <c r="A54" s="3">
        <v>11</v>
      </c>
      <c r="B54" s="15">
        <f t="shared" si="39"/>
        <v>43040</v>
      </c>
      <c r="C54" s="243">
        <f t="shared" si="40"/>
        <v>43074</v>
      </c>
      <c r="D54" s="243">
        <f t="shared" si="40"/>
        <v>43089</v>
      </c>
      <c r="E54" s="70" t="s">
        <v>341</v>
      </c>
      <c r="F54" s="3">
        <v>9</v>
      </c>
      <c r="G54" s="361">
        <f>+'[2]Load WS'!$O$27</f>
        <v>85</v>
      </c>
      <c r="H54" s="246">
        <f t="shared" si="36"/>
        <v>1651.41</v>
      </c>
      <c r="I54" s="246">
        <f t="shared" si="14"/>
        <v>1666.38</v>
      </c>
      <c r="J54" s="55">
        <f t="shared" si="42"/>
        <v>141642.30000000002</v>
      </c>
      <c r="K54" s="74">
        <f t="shared" si="43"/>
        <v>140369.85</v>
      </c>
      <c r="L54" s="77">
        <f t="shared" si="44"/>
        <v>1272.4500000000116</v>
      </c>
      <c r="M54" s="75">
        <f t="shared" si="45"/>
        <v>28.1803876755434</v>
      </c>
      <c r="N54" s="76">
        <f t="shared" si="35"/>
        <v>1300.630387675555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12</v>
      </c>
      <c r="S54" s="16">
        <f t="shared" si="50"/>
        <v>90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41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1.6217636712328913</v>
      </c>
      <c r="AA54" s="63">
        <f>($L54+SUM($W54:Z54))*(S$11*S54)</f>
        <v>12.964116521301374</v>
      </c>
      <c r="AB54" s="63">
        <f>($L54+SUM($W54:AA54))*(T$11*T54)</f>
        <v>13.594507483009137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28.1803876755434</v>
      </c>
    </row>
    <row r="55" spans="1:31" ht="12.75">
      <c r="A55" s="3">
        <v>12</v>
      </c>
      <c r="B55" s="15">
        <f t="shared" si="39"/>
        <v>43070</v>
      </c>
      <c r="C55" s="243">
        <f t="shared" si="40"/>
        <v>43104</v>
      </c>
      <c r="D55" s="243">
        <f t="shared" si="40"/>
        <v>43119</v>
      </c>
      <c r="E55" s="70" t="s">
        <v>341</v>
      </c>
      <c r="F55" s="3">
        <v>9</v>
      </c>
      <c r="G55" s="362">
        <f>+'[2]Load WS'!$P$27</f>
        <v>142</v>
      </c>
      <c r="H55" s="247">
        <f t="shared" si="36"/>
        <v>1651.41</v>
      </c>
      <c r="I55" s="247">
        <f t="shared" si="14"/>
        <v>1666.38</v>
      </c>
      <c r="J55" s="85">
        <f t="shared" si="42"/>
        <v>236625.96000000002</v>
      </c>
      <c r="K55" s="86">
        <f t="shared" si="43"/>
        <v>234500.22</v>
      </c>
      <c r="L55" s="87">
        <f t="shared" si="44"/>
        <v>2125.74000000002</v>
      </c>
      <c r="M55" s="366">
        <f t="shared" si="45"/>
        <v>39.94032739574761</v>
      </c>
      <c r="N55" s="89">
        <f t="shared" si="35"/>
        <v>2165.6803273957676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72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41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17.304105994520707</v>
      </c>
      <c r="AB55" s="63">
        <f>($L55+SUM($W55:AA55))*(T$11*T55)</f>
        <v>22.6362214012269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39.94032739574761</v>
      </c>
    </row>
    <row r="56" spans="1:31" s="156" customFormat="1" ht="12.75">
      <c r="A56" s="16">
        <v>1</v>
      </c>
      <c r="B56" s="153">
        <f t="shared" si="13"/>
        <v>42736</v>
      </c>
      <c r="C56" s="242">
        <f aca="true" t="shared" si="56" ref="C56:D67">+C32</f>
        <v>42769</v>
      </c>
      <c r="D56" s="242">
        <f t="shared" si="56"/>
        <v>42786</v>
      </c>
      <c r="E56" s="154" t="s">
        <v>136</v>
      </c>
      <c r="F56" s="155">
        <v>9</v>
      </c>
      <c r="G56" s="359">
        <f>+'[2]Load WS'!$E$12+'[2]Load WS'!$E$13</f>
        <v>808</v>
      </c>
      <c r="H56" s="246">
        <f aca="true" t="shared" si="57" ref="H56:H61">$K$3</f>
        <v>1623.7</v>
      </c>
      <c r="I56" s="246">
        <f t="shared" si="14"/>
        <v>1666.38</v>
      </c>
      <c r="J56" s="56">
        <f t="shared" si="15"/>
        <v>1346435.04</v>
      </c>
      <c r="K56" s="57">
        <f t="shared" si="32"/>
        <v>1311949.6</v>
      </c>
      <c r="L56" s="58">
        <f t="shared" si="34"/>
        <v>34485.439999999944</v>
      </c>
      <c r="M56" s="55">
        <f t="shared" si="37"/>
        <v>1840.848915699215</v>
      </c>
      <c r="N56" s="29">
        <f t="shared" si="35"/>
        <v>36326.28891569916</v>
      </c>
      <c r="O56" s="155">
        <f t="shared" si="26"/>
        <v>40</v>
      </c>
      <c r="P56" s="155">
        <f t="shared" si="27"/>
        <v>91</v>
      </c>
      <c r="Q56" s="155">
        <f t="shared" si="28"/>
        <v>92</v>
      </c>
      <c r="R56" s="155">
        <f t="shared" si="29"/>
        <v>92</v>
      </c>
      <c r="S56" s="155">
        <f t="shared" si="29"/>
        <v>90</v>
      </c>
      <c r="T56" s="155">
        <f t="shared" si="29"/>
        <v>91</v>
      </c>
      <c r="U56" s="155">
        <f t="shared" si="29"/>
        <v>0</v>
      </c>
      <c r="V56" s="157">
        <f>IF(W$8&lt;V$8,0,IF($D56&lt;V$8,V$12,IF($D56&lt;W$8,W$8-$D56,0)))</f>
        <v>0</v>
      </c>
      <c r="W56" s="158">
        <f>$L56*O$11*O56</f>
        <v>132.272920547945</v>
      </c>
      <c r="X56" s="159">
        <f>($L56+SUM($W56:W56))*(P$11*P56)</f>
        <v>302.0751113751919</v>
      </c>
      <c r="Y56" s="159">
        <f>($L56+SUM($W56:X56))*(Q$11*Q56)</f>
        <v>320.3818798939835</v>
      </c>
      <c r="Z56" s="159">
        <f>($L56+SUM($W56:Y56))*(R$11*R56)</f>
        <v>344.3431251036327</v>
      </c>
      <c r="AA56" s="159">
        <f>($L56+SUM($W56:Z56))*(S$11*S56)</f>
        <v>362.0846066277355</v>
      </c>
      <c r="AB56" s="159">
        <f>($L56+SUM($W56:AA56))*(T$11*T56)</f>
        <v>379.69127215072655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8" ref="AE56:AE61">SUM(W56:AD56)</f>
        <v>1840.848915699215</v>
      </c>
    </row>
    <row r="57" spans="1:31" ht="12.75">
      <c r="A57" s="3">
        <v>2</v>
      </c>
      <c r="B57" s="15">
        <f t="shared" si="13"/>
        <v>42767</v>
      </c>
      <c r="C57" s="243">
        <f t="shared" si="56"/>
        <v>42797</v>
      </c>
      <c r="D57" s="243">
        <f t="shared" si="56"/>
        <v>42814</v>
      </c>
      <c r="E57" s="70" t="s">
        <v>136</v>
      </c>
      <c r="F57" s="3">
        <v>9</v>
      </c>
      <c r="G57" s="359">
        <f>+'[2]Load WS'!$F$12+'[2]Load WS'!$F$13</f>
        <v>583</v>
      </c>
      <c r="H57" s="246">
        <f t="shared" si="57"/>
        <v>1623.7</v>
      </c>
      <c r="I57" s="246">
        <f t="shared" si="14"/>
        <v>1666.38</v>
      </c>
      <c r="J57" s="56">
        <f t="shared" si="15"/>
        <v>971499.54</v>
      </c>
      <c r="K57" s="57">
        <f t="shared" si="32"/>
        <v>946617.1</v>
      </c>
      <c r="L57" s="58">
        <f t="shared" si="34"/>
        <v>24882.44000000006</v>
      </c>
      <c r="M57" s="55">
        <f t="shared" si="37"/>
        <v>1258.131309692763</v>
      </c>
      <c r="N57" s="29">
        <f t="shared" si="35"/>
        <v>26140.571309692823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90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41">
        <f aca="true" t="shared" si="59" ref="W57:W67">$L57*O$11*O57</f>
        <v>28.63184876712336</v>
      </c>
      <c r="X57" s="63">
        <f>($L57+SUM($W57:W57))*(P$11*P57)</f>
        <v>217.3746954474616</v>
      </c>
      <c r="Y57" s="63">
        <f>($L57+SUM($W57:X57))*(Q$11*Q57)</f>
        <v>230.54833366374245</v>
      </c>
      <c r="Z57" s="63">
        <f>($L57+SUM($W57:Y57))*(R$11*R57)</f>
        <v>247.79096036104798</v>
      </c>
      <c r="AA57" s="63">
        <f>($L57+SUM($W57:Z57))*(S$11*S57)</f>
        <v>260.55781535129114</v>
      </c>
      <c r="AB57" s="63">
        <f>($L57+SUM($W57:AA57))*(T$11*T57)</f>
        <v>273.22765610209655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1258.131309692763</v>
      </c>
    </row>
    <row r="58" spans="1:31" ht="12.75">
      <c r="A58" s="3">
        <v>3</v>
      </c>
      <c r="B58" s="15">
        <f t="shared" si="13"/>
        <v>42795</v>
      </c>
      <c r="C58" s="243">
        <f t="shared" si="56"/>
        <v>42830</v>
      </c>
      <c r="D58" s="243">
        <f t="shared" si="56"/>
        <v>42845</v>
      </c>
      <c r="E58" s="70" t="s">
        <v>136</v>
      </c>
      <c r="F58" s="3">
        <v>9</v>
      </c>
      <c r="G58" s="359">
        <f>+'[2]Load WS'!$G$12+'[2]Load WS'!$G$13</f>
        <v>487</v>
      </c>
      <c r="H58" s="246">
        <f t="shared" si="57"/>
        <v>1623.7</v>
      </c>
      <c r="I58" s="246">
        <f t="shared" si="14"/>
        <v>1666.38</v>
      </c>
      <c r="J58" s="56">
        <f t="shared" si="15"/>
        <v>811527.06</v>
      </c>
      <c r="K58" s="57">
        <f t="shared" si="32"/>
        <v>790741.9</v>
      </c>
      <c r="L58" s="58">
        <f>+J58-K58</f>
        <v>20785.160000000033</v>
      </c>
      <c r="M58" s="55">
        <f t="shared" si="37"/>
        <v>986.4687074361148</v>
      </c>
      <c r="N58" s="29">
        <f>SUM(L58:M58)</f>
        <v>21771.628707436146</v>
      </c>
      <c r="O58" s="16">
        <f aca="true" t="shared" si="60" ref="O58:U58">IF($D58&lt;O$8,O$12,IF($D58&lt;P$8,P$8-$D58,0))</f>
        <v>0</v>
      </c>
      <c r="P58" s="16">
        <f t="shared" si="60"/>
        <v>72</v>
      </c>
      <c r="Q58" s="16">
        <f t="shared" si="60"/>
        <v>92</v>
      </c>
      <c r="R58" s="16">
        <f t="shared" si="60"/>
        <v>92</v>
      </c>
      <c r="S58" s="16">
        <f t="shared" si="60"/>
        <v>90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143.50302246575367</v>
      </c>
      <c r="Y58" s="63">
        <f>($L58+SUM($W58:X58))*(Q$11*Q58)</f>
        <v>192.01618282091346</v>
      </c>
      <c r="Z58" s="63">
        <f>($L58+SUM($W58:Y58))*(R$11*R58)</f>
        <v>206.37700385834296</v>
      </c>
      <c r="AA58" s="63">
        <f>($L58+SUM($W58:Z58))*(S$11*S58)</f>
        <v>217.01010071442377</v>
      </c>
      <c r="AB58" s="63">
        <f>($L58+SUM($W58:AA58))*(T$11*T58)</f>
        <v>227.5623975766809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986.4687074361148</v>
      </c>
    </row>
    <row r="59" spans="1:31" ht="12.75">
      <c r="A59" s="16">
        <v>4</v>
      </c>
      <c r="B59" s="15">
        <f t="shared" si="13"/>
        <v>42826</v>
      </c>
      <c r="C59" s="243">
        <f t="shared" si="56"/>
        <v>42858</v>
      </c>
      <c r="D59" s="243">
        <f t="shared" si="56"/>
        <v>42873</v>
      </c>
      <c r="E59" s="70" t="s">
        <v>136</v>
      </c>
      <c r="F59" s="3">
        <v>9</v>
      </c>
      <c r="G59" s="359">
        <f>+'[2]Load WS'!$H$12+'[2]Load WS'!$H$13</f>
        <v>506</v>
      </c>
      <c r="H59" s="246">
        <f t="shared" si="57"/>
        <v>1623.7</v>
      </c>
      <c r="I59" s="246">
        <f t="shared" si="14"/>
        <v>1666.38</v>
      </c>
      <c r="J59" s="56">
        <f t="shared" si="15"/>
        <v>843188.28</v>
      </c>
      <c r="K59" s="57">
        <f t="shared" si="32"/>
        <v>821592.2000000001</v>
      </c>
      <c r="L59" s="58">
        <f aca="true" t="shared" si="61" ref="L59:L69">+J59-K59</f>
        <v>21596.079999999958</v>
      </c>
      <c r="M59" s="55">
        <f t="shared" si="37"/>
        <v>964.6356884971264</v>
      </c>
      <c r="N59" s="29">
        <f aca="true" t="shared" si="62" ref="N59:N69">SUM(L59:M59)</f>
        <v>22560.715688497083</v>
      </c>
      <c r="O59" s="16">
        <f t="shared" si="26"/>
        <v>0</v>
      </c>
      <c r="P59" s="16">
        <f t="shared" si="27"/>
        <v>44</v>
      </c>
      <c r="Q59" s="16">
        <f t="shared" si="28"/>
        <v>92</v>
      </c>
      <c r="R59" s="16">
        <f t="shared" si="29"/>
        <v>92</v>
      </c>
      <c r="S59" s="16">
        <f t="shared" si="29"/>
        <v>90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41">
        <f t="shared" si="59"/>
        <v>0</v>
      </c>
      <c r="X59" s="63">
        <f>($L59+SUM($W59:W59))*(P$11*P59)</f>
        <v>91.11770739726012</v>
      </c>
      <c r="Y59" s="63">
        <f>($L59+SUM($W59:X59))*(Q$11*Q59)</f>
        <v>198.9755826918679</v>
      </c>
      <c r="Z59" s="63">
        <f>($L59+SUM($W59:Y59))*(R$11*R59)</f>
        <v>213.85689473482844</v>
      </c>
      <c r="AA59" s="63">
        <f>($L59+SUM($W59:Z59))*(S$11*S59)</f>
        <v>224.87537563407128</v>
      </c>
      <c r="AB59" s="63">
        <f>($L59+SUM($W59:AA59))*(T$11*T59)</f>
        <v>235.81012803909871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964.6356884971264</v>
      </c>
    </row>
    <row r="60" spans="1:31" ht="12.75">
      <c r="A60" s="3">
        <v>5</v>
      </c>
      <c r="B60" s="15">
        <f t="shared" si="13"/>
        <v>42856</v>
      </c>
      <c r="C60" s="243">
        <f t="shared" si="56"/>
        <v>42891</v>
      </c>
      <c r="D60" s="243">
        <f t="shared" si="56"/>
        <v>42906</v>
      </c>
      <c r="E60" s="30" t="s">
        <v>136</v>
      </c>
      <c r="F60" s="3">
        <v>9</v>
      </c>
      <c r="G60" s="359">
        <f>+'[2]Load WS'!$I$12+'[2]Load WS'!$I$13</f>
        <v>681</v>
      </c>
      <c r="H60" s="246">
        <f t="shared" si="57"/>
        <v>1623.7</v>
      </c>
      <c r="I60" s="246">
        <f t="shared" si="14"/>
        <v>1666.38</v>
      </c>
      <c r="J60" s="56">
        <f t="shared" si="15"/>
        <v>1134804.78</v>
      </c>
      <c r="K60" s="57">
        <f t="shared" si="32"/>
        <v>1105739.7</v>
      </c>
      <c r="L60" s="58">
        <f t="shared" si="61"/>
        <v>29065.080000000075</v>
      </c>
      <c r="M60" s="55">
        <f t="shared" si="37"/>
        <v>1202.5771940127531</v>
      </c>
      <c r="N60" s="29">
        <f t="shared" si="62"/>
        <v>30267.657194012827</v>
      </c>
      <c r="O60" s="16">
        <f t="shared" si="26"/>
        <v>0</v>
      </c>
      <c r="P60" s="16">
        <f t="shared" si="27"/>
        <v>11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90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41">
        <f t="shared" si="59"/>
        <v>0</v>
      </c>
      <c r="X60" s="63">
        <f>($L60+SUM($W60:W60))*(P$11*P60)</f>
        <v>30.657687123287754</v>
      </c>
      <c r="Y60" s="63">
        <f>($L60+SUM($W60:X60))*(Q$11*Q60)</f>
        <v>266.9474147031197</v>
      </c>
      <c r="Z60" s="63">
        <f>($L60+SUM($W60:Y60))*(R$11*R60)</f>
        <v>286.9123155392718</v>
      </c>
      <c r="AA60" s="63">
        <f>($L60+SUM($W60:Z60))*(S$11*S60)</f>
        <v>301.6948076934148</v>
      </c>
      <c r="AB60" s="63">
        <f>($L60+SUM($W60:AA60))*(T$11*T60)</f>
        <v>316.36496895365923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1202.5771940127531</v>
      </c>
    </row>
    <row r="61" spans="1:31" ht="12.75">
      <c r="A61" s="3">
        <v>6</v>
      </c>
      <c r="B61" s="15">
        <f t="shared" si="13"/>
        <v>42887</v>
      </c>
      <c r="C61" s="243">
        <f t="shared" si="56"/>
        <v>42922</v>
      </c>
      <c r="D61" s="243">
        <f t="shared" si="56"/>
        <v>42937</v>
      </c>
      <c r="E61" s="30" t="s">
        <v>136</v>
      </c>
      <c r="F61" s="3">
        <v>9</v>
      </c>
      <c r="G61" s="359">
        <f>+'[2]Load WS'!$J$12+'[2]Load WS'!$J$13</f>
        <v>782</v>
      </c>
      <c r="H61" s="246">
        <f t="shared" si="57"/>
        <v>1623.7</v>
      </c>
      <c r="I61" s="246">
        <f t="shared" si="14"/>
        <v>1666.38</v>
      </c>
      <c r="J61" s="56">
        <f t="shared" si="15"/>
        <v>1303109.1600000001</v>
      </c>
      <c r="K61" s="57">
        <f t="shared" si="32"/>
        <v>1269733.4000000001</v>
      </c>
      <c r="L61" s="77">
        <f t="shared" si="61"/>
        <v>33375.76000000001</v>
      </c>
      <c r="M61" s="78">
        <f t="shared" si="37"/>
        <v>1275.6901326118698</v>
      </c>
      <c r="N61" s="76">
        <f t="shared" si="62"/>
        <v>34651.45013261188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90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41">
        <f t="shared" si="59"/>
        <v>0</v>
      </c>
      <c r="X61" s="63">
        <f>($L61+SUM($W61:W61))*(P$11*P61)</f>
        <v>0</v>
      </c>
      <c r="Y61" s="63">
        <f>($L61+SUM($W61:X61))*(Q$11*Q61)</f>
        <v>239.64710084383566</v>
      </c>
      <c r="Z61" s="63">
        <f>($L61+SUM($W61:Y61))*(R$11*R61)</f>
        <v>328.4670409280263</v>
      </c>
      <c r="AA61" s="63">
        <f>($L61+SUM($W61:Z61))*(S$11*S61)</f>
        <v>345.39054400696085</v>
      </c>
      <c r="AB61" s="63">
        <f>($L61+SUM($W61:AA61))*(T$11*T61)</f>
        <v>362.18544683304714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1275.6901326118698</v>
      </c>
    </row>
    <row r="62" spans="1:31" ht="12.75">
      <c r="A62" s="16">
        <v>7</v>
      </c>
      <c r="B62" s="15">
        <f t="shared" si="13"/>
        <v>42917</v>
      </c>
      <c r="C62" s="243">
        <f t="shared" si="56"/>
        <v>42950</v>
      </c>
      <c r="D62" s="243">
        <f t="shared" si="56"/>
        <v>42965</v>
      </c>
      <c r="E62" s="30" t="s">
        <v>136</v>
      </c>
      <c r="F62" s="3">
        <v>9</v>
      </c>
      <c r="G62" s="359">
        <f>+'[2]Load WS'!$K$12+'[2]Load WS'!$K$13</f>
        <v>851</v>
      </c>
      <c r="H62" s="246">
        <f aca="true" t="shared" si="64" ref="H62:H67">$K$8</f>
        <v>1651.41</v>
      </c>
      <c r="I62" s="246">
        <f t="shared" si="14"/>
        <v>1666.38</v>
      </c>
      <c r="J62" s="56">
        <f t="shared" si="15"/>
        <v>1418089.3800000001</v>
      </c>
      <c r="K62" s="74">
        <f t="shared" si="32"/>
        <v>1405349.9100000001</v>
      </c>
      <c r="L62" s="77">
        <f t="shared" si="61"/>
        <v>12739.469999999972</v>
      </c>
      <c r="M62" s="75">
        <f t="shared" si="37"/>
        <v>450.2595633037247</v>
      </c>
      <c r="N62" s="76">
        <f t="shared" si="62"/>
        <v>13189.729563303697</v>
      </c>
      <c r="O62" s="16">
        <f t="shared" si="26"/>
        <v>0</v>
      </c>
      <c r="P62" s="16">
        <f t="shared" si="27"/>
        <v>0</v>
      </c>
      <c r="Q62" s="16">
        <f t="shared" si="28"/>
        <v>44</v>
      </c>
      <c r="R62" s="16">
        <f t="shared" si="63"/>
        <v>92</v>
      </c>
      <c r="S62" s="16">
        <f t="shared" si="63"/>
        <v>90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41">
        <f t="shared" si="59"/>
        <v>0</v>
      </c>
      <c r="X62" s="63">
        <f>($L62+SUM($W62:W62))*(P$11*P62)</f>
        <v>0</v>
      </c>
      <c r="Y62" s="63">
        <f>($L62+SUM($W62:X62))*(Q$11*Q62)</f>
        <v>55.90009630684918</v>
      </c>
      <c r="Z62" s="63">
        <f>($L62+SUM($W62:Y62))*(R$11*R62)</f>
        <v>125.02770948168441</v>
      </c>
      <c r="AA62" s="63">
        <f>($L62+SUM($W62:Z62))*(S$11*S62)</f>
        <v>131.46947246766715</v>
      </c>
      <c r="AB62" s="63">
        <f>($L62+SUM($W62:AA62))*(T$11*T62)</f>
        <v>137.86228504752395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450.2595633037247</v>
      </c>
    </row>
    <row r="63" spans="1:31" ht="12.75">
      <c r="A63" s="3">
        <v>8</v>
      </c>
      <c r="B63" s="15">
        <f t="shared" si="13"/>
        <v>42948</v>
      </c>
      <c r="C63" s="243">
        <f t="shared" si="56"/>
        <v>42984</v>
      </c>
      <c r="D63" s="243">
        <f t="shared" si="56"/>
        <v>42999</v>
      </c>
      <c r="E63" s="30" t="s">
        <v>136</v>
      </c>
      <c r="F63" s="3">
        <v>9</v>
      </c>
      <c r="G63" s="359">
        <f>+'[2]Load WS'!$L$12+'[2]Load WS'!$L$13</f>
        <v>819</v>
      </c>
      <c r="H63" s="246">
        <f t="shared" si="64"/>
        <v>1651.41</v>
      </c>
      <c r="I63" s="246">
        <f t="shared" si="14"/>
        <v>1666.38</v>
      </c>
      <c r="J63" s="56">
        <f t="shared" si="15"/>
        <v>1364765.2200000002</v>
      </c>
      <c r="K63" s="74">
        <f t="shared" si="32"/>
        <v>1352504.79</v>
      </c>
      <c r="L63" s="77">
        <f t="shared" si="61"/>
        <v>12260.430000000168</v>
      </c>
      <c r="M63" s="75">
        <f t="shared" si="37"/>
        <v>390.47603253910984</v>
      </c>
      <c r="N63" s="76">
        <f t="shared" si="62"/>
        <v>12650.906032539278</v>
      </c>
      <c r="O63" s="16">
        <f t="shared" si="26"/>
        <v>0</v>
      </c>
      <c r="P63" s="16">
        <f t="shared" si="27"/>
        <v>0</v>
      </c>
      <c r="Q63" s="16">
        <f t="shared" si="28"/>
        <v>10</v>
      </c>
      <c r="R63" s="16">
        <f t="shared" si="63"/>
        <v>92</v>
      </c>
      <c r="S63" s="16">
        <f t="shared" si="63"/>
        <v>90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41">
        <f t="shared" si="59"/>
        <v>0</v>
      </c>
      <c r="X63" s="63">
        <f>($L63+SUM($W63:W63))*(P$11*P63)</f>
        <v>0</v>
      </c>
      <c r="Y63" s="63">
        <f>($L63+SUM($W63:X63))*(Q$11*Q63)</f>
        <v>12.226839780822084</v>
      </c>
      <c r="Z63" s="63">
        <f>($L63+SUM($W63:Y63))*(R$11*R63)</f>
        <v>119.9201087880554</v>
      </c>
      <c r="AA63" s="63">
        <f>($L63+SUM($W63:Z63))*(S$11*S63)</f>
        <v>126.09871448489159</v>
      </c>
      <c r="AB63" s="63">
        <f>($L63+SUM($W63:AA63))*(T$11*T63)</f>
        <v>132.23036948534076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390.47603253910984</v>
      </c>
    </row>
    <row r="64" spans="1:31" ht="12.75">
      <c r="A64" s="3">
        <v>9</v>
      </c>
      <c r="B64" s="15">
        <f t="shared" si="13"/>
        <v>42979</v>
      </c>
      <c r="C64" s="243">
        <f t="shared" si="56"/>
        <v>43012</v>
      </c>
      <c r="D64" s="243">
        <f t="shared" si="56"/>
        <v>43027</v>
      </c>
      <c r="E64" s="30" t="s">
        <v>136</v>
      </c>
      <c r="F64" s="3">
        <v>9</v>
      </c>
      <c r="G64" s="359">
        <f>+'[2]Load WS'!$M$12+'[2]Load WS'!$M$13</f>
        <v>775</v>
      </c>
      <c r="H64" s="246">
        <f t="shared" si="64"/>
        <v>1651.41</v>
      </c>
      <c r="I64" s="246">
        <f aca="true" t="shared" si="66" ref="I64:I95">$J$3</f>
        <v>1666.38</v>
      </c>
      <c r="J64" s="56">
        <f t="shared" si="15"/>
        <v>1291444.5</v>
      </c>
      <c r="K64" s="74">
        <f t="shared" si="32"/>
        <v>1279842.75</v>
      </c>
      <c r="L64" s="77">
        <f t="shared" si="61"/>
        <v>11601.75</v>
      </c>
      <c r="M64" s="75">
        <f t="shared" si="37"/>
        <v>334.9291652041533</v>
      </c>
      <c r="N64" s="76">
        <f t="shared" si="62"/>
        <v>11936.679165204154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74</v>
      </c>
      <c r="S64" s="16">
        <f t="shared" si="63"/>
        <v>90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41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91.18445739726026</v>
      </c>
      <c r="AA64" s="63">
        <f>($L64+SUM($W64:Z64))*(S$11*S64)</f>
        <v>118.97961253362581</v>
      </c>
      <c r="AB64" s="63">
        <f>($L64+SUM($W64:AA64))*(T$11*T64)</f>
        <v>124.76509527326725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334.9291652041533</v>
      </c>
    </row>
    <row r="65" spans="1:31" ht="12.75">
      <c r="A65" s="16">
        <v>10</v>
      </c>
      <c r="B65" s="15">
        <f t="shared" si="13"/>
        <v>43009</v>
      </c>
      <c r="C65" s="243">
        <f t="shared" si="56"/>
        <v>43042</v>
      </c>
      <c r="D65" s="243">
        <f t="shared" si="56"/>
        <v>43059</v>
      </c>
      <c r="E65" s="30" t="s">
        <v>136</v>
      </c>
      <c r="F65" s="3">
        <v>9</v>
      </c>
      <c r="G65" s="359">
        <f>+'[2]Load WS'!$N$12+'[2]Load WS'!$N$13</f>
        <v>647</v>
      </c>
      <c r="H65" s="246">
        <f t="shared" si="64"/>
        <v>1651.41</v>
      </c>
      <c r="I65" s="246">
        <f t="shared" si="66"/>
        <v>1666.38</v>
      </c>
      <c r="J65" s="56">
        <f t="shared" si="15"/>
        <v>1078147.86</v>
      </c>
      <c r="K65" s="74">
        <f t="shared" si="32"/>
        <v>1068462.27</v>
      </c>
      <c r="L65" s="77">
        <f t="shared" si="61"/>
        <v>9685.590000000084</v>
      </c>
      <c r="M65" s="75">
        <f t="shared" si="37"/>
        <v>246.00700537400408</v>
      </c>
      <c r="N65" s="76">
        <f t="shared" si="62"/>
        <v>9931.597005374088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42</v>
      </c>
      <c r="S65" s="16">
        <f t="shared" si="63"/>
        <v>90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41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43.205692158904476</v>
      </c>
      <c r="AA65" s="63">
        <f>($L65+SUM($W65:Z65))*(S$11*S65)</f>
        <v>98.99382794706433</v>
      </c>
      <c r="AB65" s="63">
        <f>($L65+SUM($W65:AA65))*(T$11*T65)</f>
        <v>103.80748526803526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246.00700537400408</v>
      </c>
    </row>
    <row r="66" spans="1:31" ht="12.75">
      <c r="A66" s="3">
        <v>11</v>
      </c>
      <c r="B66" s="15">
        <f t="shared" si="13"/>
        <v>43040</v>
      </c>
      <c r="C66" s="243">
        <f t="shared" si="56"/>
        <v>43074</v>
      </c>
      <c r="D66" s="243">
        <f t="shared" si="56"/>
        <v>43089</v>
      </c>
      <c r="E66" s="30" t="s">
        <v>136</v>
      </c>
      <c r="F66" s="3">
        <v>9</v>
      </c>
      <c r="G66" s="359">
        <f>+'[2]Load WS'!$O$12+'[2]Load WS'!$O$13</f>
        <v>428</v>
      </c>
      <c r="H66" s="246">
        <f t="shared" si="64"/>
        <v>1651.41</v>
      </c>
      <c r="I66" s="246">
        <f t="shared" si="66"/>
        <v>1666.38</v>
      </c>
      <c r="J66" s="56">
        <f t="shared" si="15"/>
        <v>713210.64</v>
      </c>
      <c r="K66" s="74">
        <f t="shared" si="32"/>
        <v>706803.48</v>
      </c>
      <c r="L66" s="77">
        <f t="shared" si="61"/>
        <v>6407.160000000033</v>
      </c>
      <c r="M66" s="75">
        <f t="shared" si="37"/>
        <v>141.8965402956768</v>
      </c>
      <c r="N66" s="76">
        <f t="shared" si="62"/>
        <v>6549.056540295709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12</v>
      </c>
      <c r="S66" s="16">
        <f t="shared" si="63"/>
        <v>90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41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8.166057073972643</v>
      </c>
      <c r="AA66" s="63">
        <f>($L66+SUM($W66:Z66))*(S$11*S66)</f>
        <v>65.2781396601996</v>
      </c>
      <c r="AB66" s="63">
        <f>($L66+SUM($W66:AA66))*(T$11*T66)</f>
        <v>68.45234356150455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141.8965402956768</v>
      </c>
    </row>
    <row r="67" spans="1:31" s="69" customFormat="1" ht="12.75">
      <c r="A67" s="3">
        <v>12</v>
      </c>
      <c r="B67" s="83">
        <f t="shared" si="13"/>
        <v>43070</v>
      </c>
      <c r="C67" s="243">
        <f t="shared" si="56"/>
        <v>43104</v>
      </c>
      <c r="D67" s="243">
        <f t="shared" si="56"/>
        <v>43119</v>
      </c>
      <c r="E67" s="84" t="s">
        <v>136</v>
      </c>
      <c r="F67" s="81">
        <v>9</v>
      </c>
      <c r="G67" s="360">
        <f>+'[2]Load WS'!$P$12+'[2]Load WS'!$P$13</f>
        <v>776</v>
      </c>
      <c r="H67" s="247">
        <f t="shared" si="64"/>
        <v>1651.41</v>
      </c>
      <c r="I67" s="247">
        <f t="shared" si="66"/>
        <v>1666.38</v>
      </c>
      <c r="J67" s="85">
        <f t="shared" si="15"/>
        <v>1293110.8800000001</v>
      </c>
      <c r="K67" s="86">
        <f t="shared" si="32"/>
        <v>1281494.1600000001</v>
      </c>
      <c r="L67" s="87">
        <f t="shared" si="61"/>
        <v>11616.719999999972</v>
      </c>
      <c r="M67" s="88">
        <f t="shared" si="37"/>
        <v>218.265451120421</v>
      </c>
      <c r="N67" s="89">
        <f t="shared" si="62"/>
        <v>11834.985451120394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72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42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94.56328346301348</v>
      </c>
      <c r="AB67" s="90">
        <f>($L67+SUM($W67:AA67))*(T$11*T67)</f>
        <v>123.70216765740753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218.265451120421</v>
      </c>
    </row>
    <row r="68" spans="1:31" s="13" customFormat="1" ht="12.75" customHeight="1">
      <c r="A68" s="16">
        <v>1</v>
      </c>
      <c r="B68" s="15">
        <f t="shared" si="13"/>
        <v>42736</v>
      </c>
      <c r="C68" s="242">
        <f aca="true" t="shared" si="67" ref="C68:D83">+C56</f>
        <v>42769</v>
      </c>
      <c r="D68" s="242">
        <f t="shared" si="67"/>
        <v>42786</v>
      </c>
      <c r="E68" s="118" t="s">
        <v>118</v>
      </c>
      <c r="F68" s="16">
        <v>9</v>
      </c>
      <c r="G68" s="359">
        <f>+'[2]Load WS'!$E$14</f>
        <v>47</v>
      </c>
      <c r="H68" s="246">
        <f aca="true" t="shared" si="68" ref="H68:H73">$K$3</f>
        <v>1623.7</v>
      </c>
      <c r="I68" s="246">
        <f t="shared" si="66"/>
        <v>1666.38</v>
      </c>
      <c r="J68" s="56">
        <f t="shared" si="15"/>
        <v>78319.86</v>
      </c>
      <c r="K68" s="57">
        <f t="shared" si="32"/>
        <v>76313.90000000001</v>
      </c>
      <c r="L68" s="58">
        <f t="shared" si="61"/>
        <v>2005.9599999999919</v>
      </c>
      <c r="M68" s="55">
        <f t="shared" si="37"/>
        <v>107.07908296765211</v>
      </c>
      <c r="N68" s="29">
        <f t="shared" si="62"/>
        <v>2113.039082967644</v>
      </c>
      <c r="O68" s="16">
        <f t="shared" si="26"/>
        <v>40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90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41">
        <f>$L68*O$11*O68</f>
        <v>7.694093150684901</v>
      </c>
      <c r="X68" s="63">
        <f>($L68+SUM($W68:W68))*(P$11*P68)</f>
        <v>17.571200785438098</v>
      </c>
      <c r="Y68" s="63">
        <f>($L68+SUM($W68:X68))*(Q$11*Q68)</f>
        <v>18.63607469680345</v>
      </c>
      <c r="Z68" s="63">
        <f>($L68+SUM($W68:Y68))*(R$11*R68)</f>
        <v>20.02985999983997</v>
      </c>
      <c r="AA68" s="63">
        <f>($L68+SUM($W68:Z68))*(S$11*S68)</f>
        <v>21.061852118197432</v>
      </c>
      <c r="AB68" s="63">
        <f>($L68+SUM($W68:AA68))*(T$11*T68)</f>
        <v>22.08600221668825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107.07908296765211</v>
      </c>
    </row>
    <row r="69" spans="1:31" ht="12.75">
      <c r="A69" s="3">
        <v>2</v>
      </c>
      <c r="B69" s="15">
        <f t="shared" si="13"/>
        <v>42767</v>
      </c>
      <c r="C69" s="243">
        <f t="shared" si="67"/>
        <v>42797</v>
      </c>
      <c r="D69" s="243">
        <f t="shared" si="67"/>
        <v>42814</v>
      </c>
      <c r="E69" s="70" t="s">
        <v>118</v>
      </c>
      <c r="F69" s="3">
        <v>9</v>
      </c>
      <c r="G69" s="359">
        <f>+'[2]Load WS'!$F$14</f>
        <v>33</v>
      </c>
      <c r="H69" s="246">
        <f t="shared" si="68"/>
        <v>1623.7</v>
      </c>
      <c r="I69" s="246">
        <f t="shared" si="66"/>
        <v>1666.38</v>
      </c>
      <c r="J69" s="56">
        <f t="shared" si="15"/>
        <v>54990.54</v>
      </c>
      <c r="K69" s="57">
        <f t="shared" si="32"/>
        <v>53582.1</v>
      </c>
      <c r="L69" s="58">
        <f t="shared" si="61"/>
        <v>1408.4400000000023</v>
      </c>
      <c r="M69" s="55">
        <f t="shared" si="37"/>
        <v>71.21497979392993</v>
      </c>
      <c r="N69" s="29">
        <f t="shared" si="62"/>
        <v>1479.6549797939322</v>
      </c>
      <c r="O69" s="16">
        <f t="shared" si="26"/>
        <v>12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90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41">
        <f aca="true" t="shared" si="70" ref="W69:W79">$L69*O$11*O69</f>
        <v>1.6206706849315098</v>
      </c>
      <c r="X69" s="63">
        <f>($L69+SUM($W69:W69))*(P$11*P69)</f>
        <v>12.30422804419593</v>
      </c>
      <c r="Y69" s="63">
        <f>($L69+SUM($W69:X69))*(Q$11*Q69)</f>
        <v>13.04990567907975</v>
      </c>
      <c r="Z69" s="63">
        <f>($L69+SUM($W69:Y69))*(R$11*R69)</f>
        <v>14.025903416663082</v>
      </c>
      <c r="AA69" s="63">
        <f>($L69+SUM($W69:Z69))*(S$11*S69)</f>
        <v>14.748555585922126</v>
      </c>
      <c r="AB69" s="63">
        <f>($L69+SUM($W69:AA69))*(T$11*T69)</f>
        <v>15.465716383137528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71.21497979392993</v>
      </c>
    </row>
    <row r="70" spans="1:31" ht="12.75">
      <c r="A70" s="3">
        <v>3</v>
      </c>
      <c r="B70" s="15">
        <f t="shared" si="13"/>
        <v>42795</v>
      </c>
      <c r="C70" s="243">
        <f t="shared" si="67"/>
        <v>42830</v>
      </c>
      <c r="D70" s="243">
        <f t="shared" si="67"/>
        <v>42845</v>
      </c>
      <c r="E70" s="70" t="s">
        <v>118</v>
      </c>
      <c r="F70" s="3">
        <v>9</v>
      </c>
      <c r="G70" s="359">
        <f>+'[2]Load WS'!$G$14</f>
        <v>26</v>
      </c>
      <c r="H70" s="246">
        <f t="shared" si="68"/>
        <v>1623.7</v>
      </c>
      <c r="I70" s="246">
        <f t="shared" si="66"/>
        <v>1666.38</v>
      </c>
      <c r="J70" s="56">
        <f t="shared" si="15"/>
        <v>43325.880000000005</v>
      </c>
      <c r="K70" s="57">
        <f t="shared" si="32"/>
        <v>42216.200000000004</v>
      </c>
      <c r="L70" s="58">
        <f>+J70-K70</f>
        <v>1109.6800000000003</v>
      </c>
      <c r="M70" s="55">
        <f t="shared" si="37"/>
        <v>52.665680479135425</v>
      </c>
      <c r="N70" s="29">
        <f>SUM(L70:M70)</f>
        <v>1162.3456804791358</v>
      </c>
      <c r="O70" s="16">
        <f t="shared" si="26"/>
        <v>0</v>
      </c>
      <c r="P70" s="16">
        <f t="shared" si="27"/>
        <v>72</v>
      </c>
      <c r="Q70" s="16">
        <f t="shared" si="28"/>
        <v>92</v>
      </c>
      <c r="R70" s="16">
        <f t="shared" si="63"/>
        <v>92</v>
      </c>
      <c r="S70" s="16">
        <f t="shared" si="63"/>
        <v>90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41">
        <f t="shared" si="70"/>
        <v>0</v>
      </c>
      <c r="X70" s="63">
        <f>($L70+SUM($W70:W70))*(P$11*P70)</f>
        <v>7.661352328767126</v>
      </c>
      <c r="Y70" s="63">
        <f>($L70+SUM($W70:X70))*(Q$11*Q70)</f>
        <v>10.251377316927604</v>
      </c>
      <c r="Z70" s="63">
        <f>($L70+SUM($W70:Y70))*(R$11*R70)</f>
        <v>11.018074127960801</v>
      </c>
      <c r="AA70" s="63">
        <f>($L70+SUM($W70:Z70))*(S$11*S70)</f>
        <v>11.585754863603718</v>
      </c>
      <c r="AB70" s="63">
        <f>($L70+SUM($W70:AA70))*(T$11*T70)</f>
        <v>12.149121841876173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52.665680479135425</v>
      </c>
    </row>
    <row r="71" spans="1:31" ht="12" customHeight="1">
      <c r="A71" s="16">
        <v>4</v>
      </c>
      <c r="B71" s="15">
        <f t="shared" si="13"/>
        <v>42826</v>
      </c>
      <c r="C71" s="243">
        <f t="shared" si="67"/>
        <v>42858</v>
      </c>
      <c r="D71" s="243">
        <f t="shared" si="67"/>
        <v>42873</v>
      </c>
      <c r="E71" s="30" t="s">
        <v>118</v>
      </c>
      <c r="F71" s="3">
        <v>9</v>
      </c>
      <c r="G71" s="359">
        <f>+'[2]Load WS'!$H$14</f>
        <v>28</v>
      </c>
      <c r="H71" s="246">
        <f t="shared" si="68"/>
        <v>1623.7</v>
      </c>
      <c r="I71" s="246">
        <f t="shared" si="66"/>
        <v>1666.38</v>
      </c>
      <c r="J71" s="56">
        <f t="shared" si="15"/>
        <v>46658.64</v>
      </c>
      <c r="K71" s="57">
        <f t="shared" si="32"/>
        <v>45463.6</v>
      </c>
      <c r="L71" s="58">
        <f aca="true" t="shared" si="71" ref="L71:L81">+J71-K71</f>
        <v>1195.0400000000009</v>
      </c>
      <c r="M71" s="55">
        <f t="shared" si="37"/>
        <v>53.37904995636288</v>
      </c>
      <c r="N71" s="29">
        <f aca="true" t="shared" si="72" ref="N71:N81">SUM(L71:M71)</f>
        <v>1248.4190499563638</v>
      </c>
      <c r="O71" s="16">
        <f aca="true" t="shared" si="73" ref="O71:U71">IF($D71&lt;O$8,O$12,IF($D71&lt;P$8,P$8-$D71,0))</f>
        <v>0</v>
      </c>
      <c r="P71" s="16">
        <f t="shared" si="73"/>
        <v>44</v>
      </c>
      <c r="Q71" s="16">
        <f t="shared" si="73"/>
        <v>92</v>
      </c>
      <c r="R71" s="16">
        <f t="shared" si="73"/>
        <v>92</v>
      </c>
      <c r="S71" s="16">
        <f t="shared" si="73"/>
        <v>90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5.042086575342471</v>
      </c>
      <c r="Y71" s="63">
        <f>($L71+SUM($W71:X71))*(Q$11*Q71)</f>
        <v>11.010506552119201</v>
      </c>
      <c r="Z71" s="63">
        <f>($L71+SUM($W71:Y71))*(R$11*R71)</f>
        <v>11.833978364773147</v>
      </c>
      <c r="AA71" s="63">
        <f>($L71+SUM($W71:Z71))*(S$11*S71)</f>
        <v>12.443696675403187</v>
      </c>
      <c r="AB71" s="63">
        <f>($L71+SUM($W71:AA71))*(T$11*T71)</f>
        <v>13.048781788724867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53.37904995636288</v>
      </c>
    </row>
    <row r="72" spans="1:31" ht="12" customHeight="1">
      <c r="A72" s="3">
        <v>5</v>
      </c>
      <c r="B72" s="15">
        <f t="shared" si="13"/>
        <v>42856</v>
      </c>
      <c r="C72" s="243">
        <f t="shared" si="67"/>
        <v>42891</v>
      </c>
      <c r="D72" s="243">
        <f t="shared" si="67"/>
        <v>42906</v>
      </c>
      <c r="E72" s="30" t="s">
        <v>118</v>
      </c>
      <c r="F72" s="3">
        <v>9</v>
      </c>
      <c r="G72" s="359">
        <f>+'[2]Load WS'!$I$14</f>
        <v>33</v>
      </c>
      <c r="H72" s="246">
        <f t="shared" si="68"/>
        <v>1623.7</v>
      </c>
      <c r="I72" s="246">
        <f t="shared" si="66"/>
        <v>1666.38</v>
      </c>
      <c r="J72" s="56">
        <f t="shared" si="15"/>
        <v>54990.54</v>
      </c>
      <c r="K72" s="57">
        <f t="shared" si="32"/>
        <v>53582.1</v>
      </c>
      <c r="L72" s="58">
        <f t="shared" si="71"/>
        <v>1408.4400000000023</v>
      </c>
      <c r="M72" s="55">
        <f t="shared" si="37"/>
        <v>58.2746657891642</v>
      </c>
      <c r="N72" s="29">
        <f t="shared" si="72"/>
        <v>1466.7146657891665</v>
      </c>
      <c r="O72" s="16">
        <f t="shared" si="26"/>
        <v>0</v>
      </c>
      <c r="P72" s="16">
        <f t="shared" si="27"/>
        <v>11</v>
      </c>
      <c r="Q72" s="16">
        <f t="shared" si="28"/>
        <v>92</v>
      </c>
      <c r="R72" s="16">
        <f t="shared" si="63"/>
        <v>92</v>
      </c>
      <c r="S72" s="16">
        <f t="shared" si="63"/>
        <v>90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41">
        <f t="shared" si="70"/>
        <v>0</v>
      </c>
      <c r="X72" s="63">
        <f>($L72+SUM($W72:W72))*(P$11*P72)</f>
        <v>1.4856147945205507</v>
      </c>
      <c r="Y72" s="63">
        <f>($L72+SUM($W72:X72))*(Q$11*Q72)</f>
        <v>12.93577780499698</v>
      </c>
      <c r="Z72" s="63">
        <f>($L72+SUM($W72:Y72))*(R$11*R72)</f>
        <v>13.903239960052804</v>
      </c>
      <c r="AA72" s="63">
        <f>($L72+SUM($W72:Z72))*(S$11*S72)</f>
        <v>14.619572178976034</v>
      </c>
      <c r="AB72" s="63">
        <f>($L72+SUM($W72:AA72))*(T$11*T72)</f>
        <v>15.330461050617835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58.2746657891642</v>
      </c>
    </row>
    <row r="73" spans="1:31" ht="12.75">
      <c r="A73" s="3">
        <v>6</v>
      </c>
      <c r="B73" s="15">
        <f t="shared" si="13"/>
        <v>42887</v>
      </c>
      <c r="C73" s="243">
        <f t="shared" si="67"/>
        <v>42922</v>
      </c>
      <c r="D73" s="243">
        <f t="shared" si="67"/>
        <v>42937</v>
      </c>
      <c r="E73" s="30" t="s">
        <v>118</v>
      </c>
      <c r="F73" s="3">
        <v>9</v>
      </c>
      <c r="G73" s="359">
        <f>+'[2]Load WS'!$J$14</f>
        <v>39</v>
      </c>
      <c r="H73" s="246">
        <f t="shared" si="68"/>
        <v>1623.7</v>
      </c>
      <c r="I73" s="246">
        <f t="shared" si="66"/>
        <v>1666.38</v>
      </c>
      <c r="J73" s="56">
        <f t="shared" si="15"/>
        <v>64988.82000000001</v>
      </c>
      <c r="K73" s="57">
        <f t="shared" si="32"/>
        <v>63324.3</v>
      </c>
      <c r="L73" s="77">
        <f t="shared" si="71"/>
        <v>1664.520000000004</v>
      </c>
      <c r="M73" s="78">
        <f t="shared" si="37"/>
        <v>63.62137490008061</v>
      </c>
      <c r="N73" s="76">
        <f t="shared" si="72"/>
        <v>1728.1413749000847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90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41">
        <f t="shared" si="70"/>
        <v>0</v>
      </c>
      <c r="X73" s="63">
        <f>($L73+SUM($W73:W73))*(P$11*P73)</f>
        <v>0</v>
      </c>
      <c r="Y73" s="63">
        <f>($L73+SUM($W73:X73))*(Q$11*Q73)</f>
        <v>11.95170963287674</v>
      </c>
      <c r="Z73" s="63">
        <f>($L73+SUM($W73:Y73))*(R$11*R73)</f>
        <v>16.381348588482165</v>
      </c>
      <c r="AA73" s="63">
        <f>($L73+SUM($W73:Z73))*(S$11*S73)</f>
        <v>17.22535961160039</v>
      </c>
      <c r="AB73" s="63">
        <f>($L73+SUM($W73:AA73))*(T$11*T73)</f>
        <v>18.062957067121314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63.62137490008061</v>
      </c>
    </row>
    <row r="74" spans="1:31" ht="12.75">
      <c r="A74" s="16">
        <v>7</v>
      </c>
      <c r="B74" s="15">
        <f t="shared" si="13"/>
        <v>42917</v>
      </c>
      <c r="C74" s="243">
        <f t="shared" si="67"/>
        <v>42950</v>
      </c>
      <c r="D74" s="243">
        <f t="shared" si="67"/>
        <v>42965</v>
      </c>
      <c r="E74" s="30" t="s">
        <v>118</v>
      </c>
      <c r="F74" s="3">
        <v>9</v>
      </c>
      <c r="G74" s="359">
        <f>+'[2]Load WS'!$K$14</f>
        <v>41</v>
      </c>
      <c r="H74" s="246">
        <f aca="true" t="shared" si="74" ref="H74:H79">$K$8</f>
        <v>1651.41</v>
      </c>
      <c r="I74" s="246">
        <f t="shared" si="66"/>
        <v>1666.38</v>
      </c>
      <c r="J74" s="56">
        <f t="shared" si="15"/>
        <v>68321.58</v>
      </c>
      <c r="K74" s="74">
        <f t="shared" si="32"/>
        <v>67707.81</v>
      </c>
      <c r="L74" s="77">
        <f t="shared" si="71"/>
        <v>613.7700000000041</v>
      </c>
      <c r="M74" s="75">
        <f t="shared" si="37"/>
        <v>21.69288142826425</v>
      </c>
      <c r="N74" s="76">
        <f t="shared" si="72"/>
        <v>635.4628814282684</v>
      </c>
      <c r="O74" s="16">
        <f t="shared" si="26"/>
        <v>0</v>
      </c>
      <c r="P74" s="16">
        <f t="shared" si="27"/>
        <v>0</v>
      </c>
      <c r="Q74" s="16">
        <f t="shared" si="28"/>
        <v>44</v>
      </c>
      <c r="R74" s="16">
        <f t="shared" si="63"/>
        <v>92</v>
      </c>
      <c r="S74" s="16">
        <f t="shared" si="63"/>
        <v>90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41">
        <f t="shared" si="70"/>
        <v>0</v>
      </c>
      <c r="X74" s="63">
        <f>($L74+SUM($W74:W74))*(P$11*P74)</f>
        <v>0</v>
      </c>
      <c r="Y74" s="63">
        <f>($L74+SUM($W74:X74))*(Q$11*Q74)</f>
        <v>2.6931891287671403</v>
      </c>
      <c r="Z74" s="63">
        <f>($L74+SUM($W74:Y74))*(R$11*R74)</f>
        <v>6.023661678906119</v>
      </c>
      <c r="AA74" s="63">
        <f>($L74+SUM($W74:Z74))*(S$11*S74)</f>
        <v>6.3340168873964755</v>
      </c>
      <c r="AB74" s="63">
        <f>($L74+SUM($W74:AA74))*(T$11*T74)</f>
        <v>6.642013733194515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21.69288142826425</v>
      </c>
    </row>
    <row r="75" spans="1:31" ht="12.75">
      <c r="A75" s="3">
        <v>8</v>
      </c>
      <c r="B75" s="15">
        <f t="shared" si="13"/>
        <v>42948</v>
      </c>
      <c r="C75" s="243">
        <f t="shared" si="67"/>
        <v>42984</v>
      </c>
      <c r="D75" s="243">
        <f t="shared" si="67"/>
        <v>42999</v>
      </c>
      <c r="E75" s="30" t="s">
        <v>118</v>
      </c>
      <c r="F75" s="3">
        <v>9</v>
      </c>
      <c r="G75" s="359">
        <f>+'[2]Load WS'!$L$14</f>
        <v>40</v>
      </c>
      <c r="H75" s="246">
        <f t="shared" si="74"/>
        <v>1651.41</v>
      </c>
      <c r="I75" s="246">
        <f t="shared" si="66"/>
        <v>1666.38</v>
      </c>
      <c r="J75" s="56">
        <f t="shared" si="15"/>
        <v>66655.20000000001</v>
      </c>
      <c r="K75" s="74">
        <f t="shared" si="32"/>
        <v>66056.40000000001</v>
      </c>
      <c r="L75" s="77">
        <f t="shared" si="71"/>
        <v>598.8000000000029</v>
      </c>
      <c r="M75" s="75">
        <f t="shared" si="37"/>
        <v>19.070868500078458</v>
      </c>
      <c r="N75" s="76">
        <f t="shared" si="72"/>
        <v>617.8708685000813</v>
      </c>
      <c r="O75" s="16">
        <f t="shared" si="26"/>
        <v>0</v>
      </c>
      <c r="P75" s="16">
        <f t="shared" si="27"/>
        <v>0</v>
      </c>
      <c r="Q75" s="16">
        <f t="shared" si="28"/>
        <v>10</v>
      </c>
      <c r="R75" s="16">
        <f aca="true" t="shared" si="76" ref="R75:U89">IF($D75&lt;R$8,R$12,IF($D75&lt;S$8,S$8-$D75,0))</f>
        <v>92</v>
      </c>
      <c r="S75" s="16">
        <f t="shared" si="76"/>
        <v>90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41">
        <f t="shared" si="70"/>
        <v>0</v>
      </c>
      <c r="X75" s="63">
        <f>($L75+SUM($W75:W75))*(P$11*P75)</f>
        <v>0</v>
      </c>
      <c r="Y75" s="63">
        <f>($L75+SUM($W75:X75))*(Q$11*Q75)</f>
        <v>0.5971594520547974</v>
      </c>
      <c r="Z75" s="63">
        <f>($L75+SUM($W75:Y75))*(R$11*R75)</f>
        <v>5.856903970112544</v>
      </c>
      <c r="AA75" s="63">
        <f>($L75+SUM($W75:Z75))*(S$11*S75)</f>
        <v>6.1586673741094256</v>
      </c>
      <c r="AB75" s="63">
        <f>($L75+SUM($W75:AA75))*(T$11*T75)</f>
        <v>6.4581377038016905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19.070868500078458</v>
      </c>
    </row>
    <row r="76" spans="1:31" ht="12.75">
      <c r="A76" s="3">
        <v>9</v>
      </c>
      <c r="B76" s="15">
        <f t="shared" si="13"/>
        <v>42979</v>
      </c>
      <c r="C76" s="243">
        <f t="shared" si="67"/>
        <v>43012</v>
      </c>
      <c r="D76" s="243">
        <f t="shared" si="67"/>
        <v>43027</v>
      </c>
      <c r="E76" s="30" t="s">
        <v>118</v>
      </c>
      <c r="F76" s="3">
        <v>9</v>
      </c>
      <c r="G76" s="359">
        <f>+'[2]Load WS'!$M$14</f>
        <v>37</v>
      </c>
      <c r="H76" s="246">
        <f t="shared" si="74"/>
        <v>1651.41</v>
      </c>
      <c r="I76" s="246">
        <f t="shared" si="66"/>
        <v>1666.38</v>
      </c>
      <c r="J76" s="56">
        <f t="shared" si="15"/>
        <v>61656.060000000005</v>
      </c>
      <c r="K76" s="74">
        <f t="shared" si="32"/>
        <v>61102.170000000006</v>
      </c>
      <c r="L76" s="77">
        <f t="shared" si="71"/>
        <v>553.8899999999994</v>
      </c>
      <c r="M76" s="75">
        <f t="shared" si="37"/>
        <v>15.990166596843432</v>
      </c>
      <c r="N76" s="76">
        <f t="shared" si="72"/>
        <v>569.8801665968429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74</v>
      </c>
      <c r="S76" s="16">
        <f t="shared" si="76"/>
        <v>90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41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4.353322482191776</v>
      </c>
      <c r="AA76" s="63">
        <f>($L76+SUM($W76:Z76))*(S$11*S76)</f>
        <v>5.680316985476323</v>
      </c>
      <c r="AB76" s="63">
        <f>($L76+SUM($W76:AA76))*(T$11*T76)</f>
        <v>5.956527129175333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15.990166596843432</v>
      </c>
    </row>
    <row r="77" spans="1:31" ht="12.75">
      <c r="A77" s="16">
        <v>10</v>
      </c>
      <c r="B77" s="15">
        <f t="shared" si="13"/>
        <v>43009</v>
      </c>
      <c r="C77" s="243">
        <f t="shared" si="67"/>
        <v>43042</v>
      </c>
      <c r="D77" s="243">
        <f t="shared" si="67"/>
        <v>43059</v>
      </c>
      <c r="E77" s="30" t="s">
        <v>118</v>
      </c>
      <c r="F77" s="3">
        <v>9</v>
      </c>
      <c r="G77" s="359">
        <f>+'[2]Load WS'!$N$14</f>
        <v>31</v>
      </c>
      <c r="H77" s="246">
        <f t="shared" si="74"/>
        <v>1651.41</v>
      </c>
      <c r="I77" s="246">
        <f t="shared" si="66"/>
        <v>1666.38</v>
      </c>
      <c r="J77" s="56">
        <f t="shared" si="15"/>
        <v>51657.780000000006</v>
      </c>
      <c r="K77" s="74">
        <f t="shared" si="32"/>
        <v>51193.71</v>
      </c>
      <c r="L77" s="77">
        <f t="shared" si="71"/>
        <v>464.070000000007</v>
      </c>
      <c r="M77" s="75">
        <f t="shared" si="37"/>
        <v>11.787043534148648</v>
      </c>
      <c r="N77" s="76">
        <f t="shared" si="72"/>
        <v>475.85704353415565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42</v>
      </c>
      <c r="S77" s="16">
        <f t="shared" si="76"/>
        <v>90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41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2.0701336273972912</v>
      </c>
      <c r="AA77" s="63">
        <f>($L77+SUM($W77:Z77))*(S$11*S77)</f>
        <v>4.743135496690902</v>
      </c>
      <c r="AB77" s="63">
        <f>($L77+SUM($W77:AA77))*(T$11*T77)</f>
        <v>4.973774410060455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11.787043534148648</v>
      </c>
    </row>
    <row r="78" spans="1:31" ht="12.75">
      <c r="A78" s="3">
        <v>11</v>
      </c>
      <c r="B78" s="15">
        <f t="shared" si="13"/>
        <v>43040</v>
      </c>
      <c r="C78" s="243">
        <f t="shared" si="67"/>
        <v>43074</v>
      </c>
      <c r="D78" s="243">
        <f t="shared" si="67"/>
        <v>43089</v>
      </c>
      <c r="E78" s="30" t="s">
        <v>118</v>
      </c>
      <c r="F78" s="3">
        <v>9</v>
      </c>
      <c r="G78" s="359">
        <f>+'[2]Load WS'!$O$14</f>
        <v>27</v>
      </c>
      <c r="H78" s="246">
        <f t="shared" si="74"/>
        <v>1651.41</v>
      </c>
      <c r="I78" s="246">
        <f t="shared" si="66"/>
        <v>1666.38</v>
      </c>
      <c r="J78" s="56">
        <f t="shared" si="15"/>
        <v>44992.26</v>
      </c>
      <c r="K78" s="74">
        <f t="shared" si="32"/>
        <v>44588.07</v>
      </c>
      <c r="L78" s="77">
        <f t="shared" si="71"/>
        <v>404.1900000000023</v>
      </c>
      <c r="M78" s="75">
        <f t="shared" si="37"/>
        <v>8.951417261643169</v>
      </c>
      <c r="N78" s="76">
        <f t="shared" si="72"/>
        <v>413.1414172616455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12</v>
      </c>
      <c r="S78" s="16">
        <f t="shared" si="76"/>
        <v>90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41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0.5151484602739755</v>
      </c>
      <c r="AA78" s="63">
        <f>($L78+SUM($W78:Z78))*(S$11*S78)</f>
        <v>4.1180134832368935</v>
      </c>
      <c r="AB78" s="63">
        <f>($L78+SUM($W78:AA78))*(T$11*T78)</f>
        <v>4.3182553181323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8.951417261643169</v>
      </c>
    </row>
    <row r="79" spans="1:31" s="69" customFormat="1" ht="12.75">
      <c r="A79" s="3">
        <v>12</v>
      </c>
      <c r="B79" s="83">
        <f t="shared" si="13"/>
        <v>43070</v>
      </c>
      <c r="C79" s="243">
        <f t="shared" si="67"/>
        <v>43104</v>
      </c>
      <c r="D79" s="243">
        <f t="shared" si="67"/>
        <v>43119</v>
      </c>
      <c r="E79" s="84" t="s">
        <v>118</v>
      </c>
      <c r="F79" s="81">
        <v>9</v>
      </c>
      <c r="G79" s="360">
        <f>+'[2]Load WS'!$P$14</f>
        <v>42</v>
      </c>
      <c r="H79" s="247">
        <f t="shared" si="74"/>
        <v>1651.41</v>
      </c>
      <c r="I79" s="247">
        <f t="shared" si="66"/>
        <v>1666.38</v>
      </c>
      <c r="J79" s="85">
        <f t="shared" si="15"/>
        <v>69987.96</v>
      </c>
      <c r="K79" s="86">
        <f t="shared" si="32"/>
        <v>69359.22</v>
      </c>
      <c r="L79" s="87">
        <f t="shared" si="71"/>
        <v>628.7400000000052</v>
      </c>
      <c r="M79" s="88">
        <f t="shared" si="37"/>
        <v>11.813336271981676</v>
      </c>
      <c r="N79" s="89">
        <f t="shared" si="72"/>
        <v>640.553336271987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72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42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5.118115857534289</v>
      </c>
      <c r="AB79" s="90">
        <f>($L79+SUM($W79:AA79))*(T$11*T79)</f>
        <v>6.695220414447386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11.813336271981676</v>
      </c>
    </row>
    <row r="80" spans="1:31" ht="12.75">
      <c r="A80" s="16">
        <v>1</v>
      </c>
      <c r="B80" s="15">
        <f t="shared" si="13"/>
        <v>42736</v>
      </c>
      <c r="C80" s="242">
        <f t="shared" si="67"/>
        <v>42769</v>
      </c>
      <c r="D80" s="242">
        <f t="shared" si="67"/>
        <v>42786</v>
      </c>
      <c r="E80" s="118" t="s">
        <v>117</v>
      </c>
      <c r="F80" s="16">
        <v>9</v>
      </c>
      <c r="G80" s="359">
        <f>+'[2]Load WS'!$E$15</f>
        <v>86</v>
      </c>
      <c r="H80" s="246">
        <f aca="true" t="shared" si="77" ref="H80:H85">$K$3</f>
        <v>1623.7</v>
      </c>
      <c r="I80" s="246">
        <f t="shared" si="66"/>
        <v>1666.38</v>
      </c>
      <c r="J80" s="56">
        <f t="shared" si="15"/>
        <v>143308.68000000002</v>
      </c>
      <c r="K80" s="57">
        <f t="shared" si="32"/>
        <v>139638.2</v>
      </c>
      <c r="L80" s="58">
        <f t="shared" si="71"/>
        <v>3670.4800000000105</v>
      </c>
      <c r="M80" s="55">
        <f t="shared" si="37"/>
        <v>195.93193904719456</v>
      </c>
      <c r="N80" s="29">
        <f t="shared" si="72"/>
        <v>3866.411939047205</v>
      </c>
      <c r="O80" s="16">
        <f aca="true" t="shared" si="78" ref="O80:O103">IF($D80&lt;O$8,O$12,IF($D80&lt;P$8,P$8-$D80,0))</f>
        <v>40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90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41">
        <f>$L80*O$11*O80</f>
        <v>14.078553424657576</v>
      </c>
      <c r="X80" s="63">
        <f>($L80+SUM($W80:W80))*(P$11*P80)</f>
        <v>32.15155888399334</v>
      </c>
      <c r="Y80" s="63">
        <f>($L80+SUM($W80:X80))*(Q$11*Q80)</f>
        <v>34.100051572874634</v>
      </c>
      <c r="Z80" s="63">
        <f>($L80+SUM($W80:Y80))*(R$11*R80)</f>
        <v>36.65038212736701</v>
      </c>
      <c r="AA80" s="63">
        <f>($L80+SUM($W80:Z80))*(S$11*S80)</f>
        <v>38.53870813117004</v>
      </c>
      <c r="AB80" s="63">
        <f>($L80+SUM($W80:AA80))*(T$11*T80)</f>
        <v>40.41268490713196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195.93193904719456</v>
      </c>
    </row>
    <row r="81" spans="1:31" ht="12.75">
      <c r="A81" s="3">
        <v>2</v>
      </c>
      <c r="B81" s="15">
        <f t="shared" si="13"/>
        <v>42767</v>
      </c>
      <c r="C81" s="243">
        <f t="shared" si="67"/>
        <v>42797</v>
      </c>
      <c r="D81" s="243">
        <f t="shared" si="67"/>
        <v>42814</v>
      </c>
      <c r="E81" s="70" t="s">
        <v>117</v>
      </c>
      <c r="F81" s="3">
        <v>9</v>
      </c>
      <c r="G81" s="359">
        <f>+'[2]Load WS'!$F$15</f>
        <v>71</v>
      </c>
      <c r="H81" s="246">
        <f t="shared" si="77"/>
        <v>1623.7</v>
      </c>
      <c r="I81" s="246">
        <f t="shared" si="66"/>
        <v>1666.38</v>
      </c>
      <c r="J81" s="56">
        <f t="shared" si="15"/>
        <v>118312.98000000001</v>
      </c>
      <c r="K81" s="57">
        <f t="shared" si="32"/>
        <v>115282.7</v>
      </c>
      <c r="L81" s="58">
        <f t="shared" si="71"/>
        <v>3030.2800000000134</v>
      </c>
      <c r="M81" s="55">
        <f t="shared" si="37"/>
        <v>153.22010804148601</v>
      </c>
      <c r="N81" s="29">
        <f t="shared" si="72"/>
        <v>3183.5001080414995</v>
      </c>
      <c r="O81" s="16">
        <f t="shared" si="78"/>
        <v>12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90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41">
        <f aca="true" t="shared" si="82" ref="W81:W91">$L81*O$11*O81</f>
        <v>3.486897534246591</v>
      </c>
      <c r="X81" s="63">
        <f>($L81+SUM($W81:W81))*(P$11*P81)</f>
        <v>26.472733064785256</v>
      </c>
      <c r="Y81" s="63">
        <f>($L81+SUM($W81:X81))*(Q$11*Q81)</f>
        <v>28.07706979438378</v>
      </c>
      <c r="Z81" s="63">
        <f>($L81+SUM($W81:Y81))*(R$11*R81)</f>
        <v>30.17694371463884</v>
      </c>
      <c r="AA81" s="63">
        <f>($L81+SUM($W81:Z81))*(S$11*S81)</f>
        <v>31.731740806074967</v>
      </c>
      <c r="AB81" s="63">
        <f>($L81+SUM($W81:AA81))*(T$11*T81)</f>
        <v>33.274723127356594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153.22010804148601</v>
      </c>
    </row>
    <row r="82" spans="1:31" ht="12.75">
      <c r="A82" s="3">
        <v>3</v>
      </c>
      <c r="B82" s="15">
        <f t="shared" si="13"/>
        <v>42795</v>
      </c>
      <c r="C82" s="243">
        <f t="shared" si="67"/>
        <v>42830</v>
      </c>
      <c r="D82" s="243">
        <f t="shared" si="67"/>
        <v>42845</v>
      </c>
      <c r="E82" s="70" t="s">
        <v>117</v>
      </c>
      <c r="F82" s="3">
        <v>9</v>
      </c>
      <c r="G82" s="359">
        <f>+'[2]Load WS'!$G$15</f>
        <v>90</v>
      </c>
      <c r="H82" s="246">
        <f t="shared" si="77"/>
        <v>1623.7</v>
      </c>
      <c r="I82" s="246">
        <f t="shared" si="66"/>
        <v>1666.38</v>
      </c>
      <c r="J82" s="56">
        <f t="shared" si="15"/>
        <v>149974.2</v>
      </c>
      <c r="K82" s="57">
        <f aca="true" t="shared" si="83" ref="K82:K133">+$G82*H82</f>
        <v>146133</v>
      </c>
      <c r="L82" s="58">
        <f>+J82-K82</f>
        <v>3841.2000000000116</v>
      </c>
      <c r="M82" s="55">
        <f t="shared" si="37"/>
        <v>182.30427858162312</v>
      </c>
      <c r="N82" s="29">
        <f>SUM(L82:M82)</f>
        <v>4023.504278581635</v>
      </c>
      <c r="O82" s="16">
        <f aca="true" t="shared" si="84" ref="O82:U82">IF($D82&lt;O$8,O$12,IF($D82&lt;P$8,P$8-$D82,0))</f>
        <v>0</v>
      </c>
      <c r="P82" s="16">
        <f t="shared" si="84"/>
        <v>72</v>
      </c>
      <c r="Q82" s="16">
        <f t="shared" si="84"/>
        <v>92</v>
      </c>
      <c r="R82" s="16">
        <f t="shared" si="84"/>
        <v>92</v>
      </c>
      <c r="S82" s="16">
        <f t="shared" si="84"/>
        <v>90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26.520065753424742</v>
      </c>
      <c r="Y82" s="63">
        <f>($L82+SUM($W82:X82))*(Q$11*Q82)</f>
        <v>35.48553686628796</v>
      </c>
      <c r="Z82" s="63">
        <f>($L82+SUM($W82:Y82))*(R$11*R82)</f>
        <v>38.13948736601826</v>
      </c>
      <c r="AA82" s="63">
        <f>($L82+SUM($W82:Z82))*(S$11*S82)</f>
        <v>40.10453606632068</v>
      </c>
      <c r="AB82" s="63">
        <f>($L82+SUM($W82:AA82))*(T$11*T82)</f>
        <v>42.05465252957148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182.30427858162312</v>
      </c>
    </row>
    <row r="83" spans="1:31" ht="12.75">
      <c r="A83" s="16">
        <v>4</v>
      </c>
      <c r="B83" s="15">
        <f t="shared" si="13"/>
        <v>42826</v>
      </c>
      <c r="C83" s="243">
        <f t="shared" si="67"/>
        <v>42858</v>
      </c>
      <c r="D83" s="243">
        <f t="shared" si="67"/>
        <v>42873</v>
      </c>
      <c r="E83" s="70" t="s">
        <v>117</v>
      </c>
      <c r="F83" s="3">
        <v>9</v>
      </c>
      <c r="G83" s="359">
        <f>+'[2]Load WS'!$H$15</f>
        <v>79</v>
      </c>
      <c r="H83" s="246">
        <f t="shared" si="77"/>
        <v>1623.7</v>
      </c>
      <c r="I83" s="246">
        <f t="shared" si="66"/>
        <v>1666.38</v>
      </c>
      <c r="J83" s="56">
        <f t="shared" si="15"/>
        <v>131644.02000000002</v>
      </c>
      <c r="K83" s="57">
        <f t="shared" si="83"/>
        <v>128272.3</v>
      </c>
      <c r="L83" s="58">
        <f aca="true" t="shared" si="85" ref="L83:L93">+J83-K83</f>
        <v>3371.7200000000157</v>
      </c>
      <c r="M83" s="55">
        <f t="shared" si="37"/>
        <v>150.60517666259585</v>
      </c>
      <c r="N83" s="29">
        <f aca="true" t="shared" si="86" ref="N83:N93">SUM(L83:M83)</f>
        <v>3522.3251766626117</v>
      </c>
      <c r="O83" s="16">
        <f t="shared" si="78"/>
        <v>0</v>
      </c>
      <c r="P83" s="16">
        <f t="shared" si="79"/>
        <v>44</v>
      </c>
      <c r="Q83" s="16">
        <f t="shared" si="80"/>
        <v>92</v>
      </c>
      <c r="R83" s="16">
        <f t="shared" si="76"/>
        <v>92</v>
      </c>
      <c r="S83" s="16">
        <f t="shared" si="76"/>
        <v>90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41">
        <f t="shared" si="82"/>
        <v>0</v>
      </c>
      <c r="X83" s="63">
        <f>($L83+SUM($W83:W83))*(P$11*P83)</f>
        <v>14.225887123287741</v>
      </c>
      <c r="Y83" s="63">
        <f>($L83+SUM($W83:X83))*(Q$11*Q83)</f>
        <v>31.065357772050728</v>
      </c>
      <c r="Z83" s="63">
        <f>($L83+SUM($W83:Y83))*(R$11*R83)</f>
        <v>33.388724672038656</v>
      </c>
      <c r="AA83" s="63">
        <f>($L83+SUM($W83:Z83))*(S$11*S83)</f>
        <v>35.10900133417341</v>
      </c>
      <c r="AB83" s="63">
        <f>($L83+SUM($W83:AA83))*(T$11*T83)</f>
        <v>36.8162057610453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150.60517666259585</v>
      </c>
    </row>
    <row r="84" spans="1:31" ht="12.75">
      <c r="A84" s="3">
        <v>5</v>
      </c>
      <c r="B84" s="15">
        <f t="shared" si="13"/>
        <v>42856</v>
      </c>
      <c r="C84" s="243">
        <f aca="true" t="shared" si="87" ref="C84:D103">+C72</f>
        <v>42891</v>
      </c>
      <c r="D84" s="243">
        <f t="shared" si="87"/>
        <v>42906</v>
      </c>
      <c r="E84" s="30" t="s">
        <v>117</v>
      </c>
      <c r="F84" s="3">
        <v>9</v>
      </c>
      <c r="G84" s="359">
        <f>+'[2]Load WS'!$I$15</f>
        <v>109</v>
      </c>
      <c r="H84" s="246">
        <f t="shared" si="77"/>
        <v>1623.7</v>
      </c>
      <c r="I84" s="246">
        <f t="shared" si="66"/>
        <v>1666.38</v>
      </c>
      <c r="J84" s="56">
        <f t="shared" si="15"/>
        <v>181635.42</v>
      </c>
      <c r="K84" s="57">
        <f t="shared" si="83"/>
        <v>176983.30000000002</v>
      </c>
      <c r="L84" s="58">
        <f t="shared" si="85"/>
        <v>4652.119999999995</v>
      </c>
      <c r="M84" s="55">
        <f t="shared" si="37"/>
        <v>192.48298700057217</v>
      </c>
      <c r="N84" s="29">
        <f t="shared" si="86"/>
        <v>4844.602987000568</v>
      </c>
      <c r="O84" s="16">
        <f t="shared" si="78"/>
        <v>0</v>
      </c>
      <c r="P84" s="16">
        <f t="shared" si="79"/>
        <v>11</v>
      </c>
      <c r="Q84" s="16">
        <f t="shared" si="80"/>
        <v>92</v>
      </c>
      <c r="R84" s="16">
        <f t="shared" si="76"/>
        <v>92</v>
      </c>
      <c r="S84" s="16">
        <f t="shared" si="76"/>
        <v>90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41">
        <f t="shared" si="82"/>
        <v>0</v>
      </c>
      <c r="X84" s="63">
        <f>($L84+SUM($W84:W84))*(P$11*P84)</f>
        <v>4.907030684931503</v>
      </c>
      <c r="Y84" s="63">
        <f>($L84+SUM($W84:X84))*(Q$11*Q84)</f>
        <v>42.72726608317173</v>
      </c>
      <c r="Z84" s="63">
        <f>($L84+SUM($W84:Y84))*(R$11*R84)</f>
        <v>45.92282289835611</v>
      </c>
      <c r="AA84" s="63">
        <f>($L84+SUM($W84:Z84))*(S$11*S84)</f>
        <v>48.28888992449647</v>
      </c>
      <c r="AB84" s="63">
        <f>($L84+SUM($W84:AA84))*(T$11*T84)</f>
        <v>50.63697740961635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192.48298700057217</v>
      </c>
    </row>
    <row r="85" spans="1:31" ht="12.75">
      <c r="A85" s="3">
        <v>6</v>
      </c>
      <c r="B85" s="15">
        <f t="shared" si="13"/>
        <v>42887</v>
      </c>
      <c r="C85" s="243">
        <f t="shared" si="87"/>
        <v>42922</v>
      </c>
      <c r="D85" s="243">
        <f t="shared" si="87"/>
        <v>42937</v>
      </c>
      <c r="E85" s="30" t="s">
        <v>117</v>
      </c>
      <c r="F85" s="3">
        <v>9</v>
      </c>
      <c r="G85" s="359">
        <f>+'[2]Load WS'!$J$15</f>
        <v>136</v>
      </c>
      <c r="H85" s="246">
        <f t="shared" si="77"/>
        <v>1623.7</v>
      </c>
      <c r="I85" s="246">
        <f t="shared" si="66"/>
        <v>1666.38</v>
      </c>
      <c r="J85" s="56">
        <f t="shared" si="15"/>
        <v>226627.68000000002</v>
      </c>
      <c r="K85" s="57">
        <f t="shared" si="83"/>
        <v>220823.2</v>
      </c>
      <c r="L85" s="77">
        <f t="shared" si="85"/>
        <v>5804.4800000000105</v>
      </c>
      <c r="M85" s="78">
        <f t="shared" si="37"/>
        <v>221.85915349771687</v>
      </c>
      <c r="N85" s="76">
        <f t="shared" si="86"/>
        <v>6026.339153497727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90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41">
        <f t="shared" si="82"/>
        <v>0</v>
      </c>
      <c r="X85" s="63">
        <f>($L85+SUM($W85:W85))*(P$11*P85)</f>
        <v>0</v>
      </c>
      <c r="Y85" s="63">
        <f>($L85+SUM($W85:X85))*(Q$11*Q85)</f>
        <v>41.677756668493224</v>
      </c>
      <c r="Z85" s="63">
        <f>($L85+SUM($W85:Y85))*(R$11*R85)</f>
        <v>57.12470277009161</v>
      </c>
      <c r="AA85" s="63">
        <f>($L85+SUM($W85:Z85))*(S$11*S85)</f>
        <v>60.067920696862856</v>
      </c>
      <c r="AB85" s="63">
        <f>($L85+SUM($W85:AA85))*(T$11*T85)</f>
        <v>62.98877336226916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221.85915349771687</v>
      </c>
    </row>
    <row r="86" spans="1:31" ht="12.75">
      <c r="A86" s="16">
        <v>7</v>
      </c>
      <c r="B86" s="15">
        <f t="shared" si="13"/>
        <v>42917</v>
      </c>
      <c r="C86" s="243">
        <f t="shared" si="87"/>
        <v>42950</v>
      </c>
      <c r="D86" s="243">
        <f t="shared" si="87"/>
        <v>42965</v>
      </c>
      <c r="E86" s="30" t="s">
        <v>117</v>
      </c>
      <c r="F86" s="3">
        <v>9</v>
      </c>
      <c r="G86" s="359">
        <f>+'[2]Load WS'!$K$15</f>
        <v>150</v>
      </c>
      <c r="H86" s="246">
        <f aca="true" t="shared" si="88" ref="H86:H91">$K$8</f>
        <v>1651.41</v>
      </c>
      <c r="I86" s="246">
        <f t="shared" si="66"/>
        <v>1666.38</v>
      </c>
      <c r="J86" s="56">
        <f t="shared" si="15"/>
        <v>249957.00000000003</v>
      </c>
      <c r="K86" s="74">
        <f t="shared" si="83"/>
        <v>247711.5</v>
      </c>
      <c r="L86" s="77">
        <f t="shared" si="85"/>
        <v>2245.500000000029</v>
      </c>
      <c r="M86" s="75">
        <f aca="true" t="shared" si="89" ref="M86:M137">+AE86</f>
        <v>79.36420034730872</v>
      </c>
      <c r="N86" s="76">
        <f t="shared" si="86"/>
        <v>2324.864200347338</v>
      </c>
      <c r="O86" s="16">
        <f t="shared" si="78"/>
        <v>0</v>
      </c>
      <c r="P86" s="16">
        <f t="shared" si="79"/>
        <v>0</v>
      </c>
      <c r="Q86" s="16">
        <f t="shared" si="80"/>
        <v>44</v>
      </c>
      <c r="R86" s="16">
        <f t="shared" si="76"/>
        <v>92</v>
      </c>
      <c r="S86" s="16">
        <f t="shared" si="76"/>
        <v>90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41">
        <f t="shared" si="82"/>
        <v>0</v>
      </c>
      <c r="X86" s="63">
        <f>($L86+SUM($W86:W86))*(P$11*P86)</f>
        <v>0</v>
      </c>
      <c r="Y86" s="63">
        <f>($L86+SUM($W86:X86))*(Q$11*Q86)</f>
        <v>9.853130958904234</v>
      </c>
      <c r="Z86" s="63">
        <f>($L86+SUM($W86:Y86))*(R$11*R86)</f>
        <v>22.037786630144474</v>
      </c>
      <c r="AA86" s="63">
        <f>($L86+SUM($W86:Z86))*(S$11*S86)</f>
        <v>23.173232514865298</v>
      </c>
      <c r="AB86" s="63">
        <f>($L86+SUM($W86:AA86))*(T$11*T86)</f>
        <v>24.30005024339472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79.36420034730872</v>
      </c>
    </row>
    <row r="87" spans="1:31" ht="12.75">
      <c r="A87" s="3">
        <v>8</v>
      </c>
      <c r="B87" s="15">
        <f t="shared" si="13"/>
        <v>42948</v>
      </c>
      <c r="C87" s="243">
        <f t="shared" si="87"/>
        <v>42984</v>
      </c>
      <c r="D87" s="243">
        <f t="shared" si="87"/>
        <v>42999</v>
      </c>
      <c r="E87" s="30" t="s">
        <v>117</v>
      </c>
      <c r="F87" s="3">
        <v>9</v>
      </c>
      <c r="G87" s="359">
        <f>+'[2]Load WS'!$L$15</f>
        <v>137</v>
      </c>
      <c r="H87" s="246">
        <f t="shared" si="88"/>
        <v>1651.41</v>
      </c>
      <c r="I87" s="246">
        <f t="shared" si="66"/>
        <v>1666.38</v>
      </c>
      <c r="J87" s="56">
        <f t="shared" si="15"/>
        <v>228294.06000000003</v>
      </c>
      <c r="K87" s="74">
        <f t="shared" si="83"/>
        <v>226243.17</v>
      </c>
      <c r="L87" s="77">
        <f t="shared" si="85"/>
        <v>2050.890000000014</v>
      </c>
      <c r="M87" s="75">
        <f t="shared" si="89"/>
        <v>65.31772461276884</v>
      </c>
      <c r="N87" s="76">
        <f t="shared" si="86"/>
        <v>2116.207724612783</v>
      </c>
      <c r="O87" s="16">
        <f t="shared" si="78"/>
        <v>0</v>
      </c>
      <c r="P87" s="16">
        <f t="shared" si="79"/>
        <v>0</v>
      </c>
      <c r="Q87" s="16">
        <f t="shared" si="80"/>
        <v>10</v>
      </c>
      <c r="R87" s="16">
        <f t="shared" si="76"/>
        <v>92</v>
      </c>
      <c r="S87" s="16">
        <f t="shared" si="76"/>
        <v>90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41">
        <f t="shared" si="82"/>
        <v>0</v>
      </c>
      <c r="X87" s="63">
        <f>($L87+SUM($W87:W87))*(P$11*P87)</f>
        <v>0</v>
      </c>
      <c r="Y87" s="63">
        <f>($L87+SUM($W87:X87))*(Q$11*Q87)</f>
        <v>2.045271123287685</v>
      </c>
      <c r="Z87" s="63">
        <f>($L87+SUM($W87:Y87))*(R$11*R87)</f>
        <v>20.059896097635505</v>
      </c>
      <c r="AA87" s="63">
        <f>($L87+SUM($W87:Z87))*(S$11*S87)</f>
        <v>21.093435756324823</v>
      </c>
      <c r="AB87" s="63">
        <f>($L87+SUM($W87:AA87))*(T$11*T87)</f>
        <v>22.11912163552083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65.31772461276884</v>
      </c>
    </row>
    <row r="88" spans="1:31" ht="12.75">
      <c r="A88" s="3">
        <v>9</v>
      </c>
      <c r="B88" s="15">
        <f t="shared" si="13"/>
        <v>42979</v>
      </c>
      <c r="C88" s="243">
        <f t="shared" si="87"/>
        <v>43012</v>
      </c>
      <c r="D88" s="243">
        <f t="shared" si="87"/>
        <v>43027</v>
      </c>
      <c r="E88" s="30" t="s">
        <v>117</v>
      </c>
      <c r="F88" s="3">
        <v>9</v>
      </c>
      <c r="G88" s="359">
        <f>+'[2]Load WS'!$M$15</f>
        <v>134</v>
      </c>
      <c r="H88" s="246">
        <f t="shared" si="88"/>
        <v>1651.41</v>
      </c>
      <c r="I88" s="246">
        <f t="shared" si="66"/>
        <v>1666.38</v>
      </c>
      <c r="J88" s="56">
        <f t="shared" si="15"/>
        <v>223294.92</v>
      </c>
      <c r="K88" s="74">
        <f t="shared" si="83"/>
        <v>221288.94</v>
      </c>
      <c r="L88" s="77">
        <f t="shared" si="85"/>
        <v>2005.9800000000105</v>
      </c>
      <c r="M88" s="75">
        <f t="shared" si="89"/>
        <v>57.91033308046036</v>
      </c>
      <c r="N88" s="76">
        <f t="shared" si="86"/>
        <v>2063.890333080471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74</v>
      </c>
      <c r="S88" s="16">
        <f t="shared" si="76"/>
        <v>90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41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15.76608682739734</v>
      </c>
      <c r="AA88" s="63">
        <f>($L88+SUM($W88:Z88))*(S$11*S88)</f>
        <v>20.571958812265734</v>
      </c>
      <c r="AB88" s="63">
        <f>($L88+SUM($W88:AA88))*(T$11*T88)</f>
        <v>21.572287440797286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57.91033308046036</v>
      </c>
    </row>
    <row r="89" spans="1:31" ht="12.75">
      <c r="A89" s="16">
        <v>10</v>
      </c>
      <c r="B89" s="15">
        <f t="shared" si="13"/>
        <v>43009</v>
      </c>
      <c r="C89" s="243">
        <f t="shared" si="87"/>
        <v>43042</v>
      </c>
      <c r="D89" s="243">
        <f t="shared" si="87"/>
        <v>43059</v>
      </c>
      <c r="E89" s="30" t="s">
        <v>117</v>
      </c>
      <c r="F89" s="3">
        <v>9</v>
      </c>
      <c r="G89" s="359">
        <f>+'[2]Load WS'!$N$15</f>
        <v>85</v>
      </c>
      <c r="H89" s="246">
        <f t="shared" si="88"/>
        <v>1651.41</v>
      </c>
      <c r="I89" s="246">
        <f t="shared" si="66"/>
        <v>1666.38</v>
      </c>
      <c r="J89" s="56">
        <f t="shared" si="15"/>
        <v>141642.30000000002</v>
      </c>
      <c r="K89" s="74">
        <f t="shared" si="83"/>
        <v>140369.85</v>
      </c>
      <c r="L89" s="77">
        <f t="shared" si="85"/>
        <v>1272.4500000000116</v>
      </c>
      <c r="M89" s="75">
        <f t="shared" si="89"/>
        <v>32.319312916213846</v>
      </c>
      <c r="N89" s="76">
        <f t="shared" si="86"/>
        <v>1304.7693129162255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42</v>
      </c>
      <c r="S89" s="16">
        <f t="shared" si="76"/>
        <v>90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41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5.67617284931512</v>
      </c>
      <c r="AA89" s="63">
        <f>($L89+SUM($W89:Z89))*(S$11*S89)</f>
        <v>13.005371523184657</v>
      </c>
      <c r="AB89" s="63">
        <f>($L89+SUM($W89:AA89))*(T$11*T89)</f>
        <v>13.637768543714067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32.319312916213846</v>
      </c>
    </row>
    <row r="90" spans="1:31" ht="12.75">
      <c r="A90" s="3">
        <v>11</v>
      </c>
      <c r="B90" s="15">
        <f t="shared" si="13"/>
        <v>43040</v>
      </c>
      <c r="C90" s="243">
        <f t="shared" si="87"/>
        <v>43074</v>
      </c>
      <c r="D90" s="243">
        <f t="shared" si="87"/>
        <v>43089</v>
      </c>
      <c r="E90" s="30" t="s">
        <v>117</v>
      </c>
      <c r="F90" s="3">
        <v>9</v>
      </c>
      <c r="G90" s="359">
        <f>+'[2]Load WS'!$O$15</f>
        <v>68</v>
      </c>
      <c r="H90" s="246">
        <f t="shared" si="88"/>
        <v>1651.41</v>
      </c>
      <c r="I90" s="246">
        <f t="shared" si="66"/>
        <v>1666.38</v>
      </c>
      <c r="J90" s="56">
        <f t="shared" si="15"/>
        <v>113313.84000000001</v>
      </c>
      <c r="K90" s="74">
        <f t="shared" si="83"/>
        <v>112295.88</v>
      </c>
      <c r="L90" s="77">
        <f t="shared" si="85"/>
        <v>1017.9600000000064</v>
      </c>
      <c r="M90" s="75">
        <f t="shared" si="89"/>
        <v>22.54431014043466</v>
      </c>
      <c r="N90" s="76">
        <f t="shared" si="86"/>
        <v>1040.504310140441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12</v>
      </c>
      <c r="S90" s="16">
        <f aca="true" t="shared" si="92" ref="S90:U113">IF($D90&lt;S$8,S$12,IF($D90&lt;T$8,T$8-$D90,0))</f>
        <v>90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41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1.2974109369863094</v>
      </c>
      <c r="AA90" s="63">
        <f>($L90+SUM($W90:Z90))*(S$11*S90)</f>
        <v>10.371293217041071</v>
      </c>
      <c r="AB90" s="63">
        <f>($L90+SUM($W90:AA90))*(T$11*T90)</f>
        <v>10.87560598640728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22.54431014043466</v>
      </c>
    </row>
    <row r="91" spans="1:31" s="69" customFormat="1" ht="12.75">
      <c r="A91" s="3">
        <v>12</v>
      </c>
      <c r="B91" s="83">
        <f t="shared" si="13"/>
        <v>43070</v>
      </c>
      <c r="C91" s="243">
        <f t="shared" si="87"/>
        <v>43104</v>
      </c>
      <c r="D91" s="243">
        <f t="shared" si="87"/>
        <v>43119</v>
      </c>
      <c r="E91" s="84" t="s">
        <v>117</v>
      </c>
      <c r="F91" s="81">
        <v>9</v>
      </c>
      <c r="G91" s="360">
        <f>+'[2]Load WS'!$P$15</f>
        <v>89</v>
      </c>
      <c r="H91" s="247">
        <f t="shared" si="88"/>
        <v>1651.41</v>
      </c>
      <c r="I91" s="247">
        <f t="shared" si="66"/>
        <v>1666.38</v>
      </c>
      <c r="J91" s="85">
        <f t="shared" si="15"/>
        <v>148307.82</v>
      </c>
      <c r="K91" s="86">
        <f t="shared" si="83"/>
        <v>146975.49000000002</v>
      </c>
      <c r="L91" s="87">
        <f t="shared" si="85"/>
        <v>1332.3299999999872</v>
      </c>
      <c r="M91" s="88">
        <f t="shared" si="89"/>
        <v>25.033022100151197</v>
      </c>
      <c r="N91" s="89">
        <f t="shared" si="86"/>
        <v>1357.3630221001383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72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42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10.845531221917703</v>
      </c>
      <c r="AB91" s="90">
        <f>($L91+SUM($W91:AA91))*(T$11*T91)</f>
        <v>14.187490878233493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25.033022100151197</v>
      </c>
    </row>
    <row r="92" spans="1:31" ht="12.75">
      <c r="A92" s="16">
        <v>1</v>
      </c>
      <c r="B92" s="15">
        <f t="shared" si="13"/>
        <v>42736</v>
      </c>
      <c r="C92" s="242">
        <f t="shared" si="87"/>
        <v>42769</v>
      </c>
      <c r="D92" s="242">
        <f t="shared" si="87"/>
        <v>42786</v>
      </c>
      <c r="E92" s="118" t="s">
        <v>141</v>
      </c>
      <c r="F92" s="16">
        <v>9</v>
      </c>
      <c r="G92" s="359">
        <f>+'[2]Load WS'!$E$16+'[2]Load WS'!$E$17+'[2]Load WS'!$E$18</f>
        <v>16</v>
      </c>
      <c r="H92" s="246">
        <f aca="true" t="shared" si="93" ref="H92:H97">$K$3</f>
        <v>1623.7</v>
      </c>
      <c r="I92" s="246">
        <f t="shared" si="66"/>
        <v>1666.38</v>
      </c>
      <c r="J92" s="56">
        <f t="shared" si="15"/>
        <v>26662.08</v>
      </c>
      <c r="K92" s="57">
        <f t="shared" si="83"/>
        <v>25979.2</v>
      </c>
      <c r="L92" s="58">
        <f t="shared" si="85"/>
        <v>682.880000000001</v>
      </c>
      <c r="M92" s="55">
        <f t="shared" si="89"/>
        <v>36.4524537762222</v>
      </c>
      <c r="N92" s="29">
        <f t="shared" si="86"/>
        <v>719.3324537762232</v>
      </c>
      <c r="O92" s="16">
        <f t="shared" si="78"/>
        <v>40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90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41">
        <f>$L92*O$11*O92</f>
        <v>2.6192657534246617</v>
      </c>
      <c r="X92" s="63">
        <f>($L92+SUM($W92:W92))*(P$11*P92)</f>
        <v>5.981685373766194</v>
      </c>
      <c r="Y92" s="63">
        <f>($L92+SUM($W92:X92))*(Q$11*Q92)</f>
        <v>6.344195641465041</v>
      </c>
      <c r="Z92" s="63">
        <f>($L92+SUM($W92:Y92))*(R$11*R92)</f>
        <v>6.818675744626412</v>
      </c>
      <c r="AA92" s="63">
        <f>($L92+SUM($W92:Z92))*(S$11*S92)</f>
        <v>7.16999221045023</v>
      </c>
      <c r="AB92" s="63">
        <f>($L92+SUM($W92:AA92))*(T$11*T92)</f>
        <v>7.518639052489657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36.4524537762222</v>
      </c>
    </row>
    <row r="93" spans="1:31" ht="12.75">
      <c r="A93" s="3">
        <v>2</v>
      </c>
      <c r="B93" s="15">
        <f t="shared" si="13"/>
        <v>42767</v>
      </c>
      <c r="C93" s="243">
        <f t="shared" si="87"/>
        <v>42797</v>
      </c>
      <c r="D93" s="243">
        <f t="shared" si="87"/>
        <v>42814</v>
      </c>
      <c r="E93" s="70" t="s">
        <v>141</v>
      </c>
      <c r="F93" s="3">
        <v>9</v>
      </c>
      <c r="G93" s="359">
        <f>+'[2]Load WS'!$F$16+'[2]Load WS'!$F$17+'[2]Load WS'!$F$18</f>
        <v>22</v>
      </c>
      <c r="H93" s="246">
        <f t="shared" si="93"/>
        <v>1623.7</v>
      </c>
      <c r="I93" s="246">
        <f t="shared" si="66"/>
        <v>1666.38</v>
      </c>
      <c r="J93" s="56">
        <f t="shared" si="15"/>
        <v>36660.36</v>
      </c>
      <c r="K93" s="57">
        <f t="shared" si="83"/>
        <v>35721.4</v>
      </c>
      <c r="L93" s="58">
        <f t="shared" si="85"/>
        <v>938.9599999999991</v>
      </c>
      <c r="M93" s="55">
        <f t="shared" si="89"/>
        <v>47.47665319595316</v>
      </c>
      <c r="N93" s="29">
        <f t="shared" si="86"/>
        <v>986.4366531959523</v>
      </c>
      <c r="O93" s="16">
        <f t="shared" si="78"/>
        <v>12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90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41">
        <f aca="true" t="shared" si="96" ref="W93:W103">$L93*O$11*O93</f>
        <v>1.0804471232876705</v>
      </c>
      <c r="X93" s="63">
        <f>($L93+SUM($W93:W93))*(P$11*P93)</f>
        <v>8.202818696130597</v>
      </c>
      <c r="Y93" s="63">
        <f>($L93+SUM($W93:X93))*(Q$11*Q93)</f>
        <v>8.699937119386478</v>
      </c>
      <c r="Z93" s="63">
        <f>($L93+SUM($W93:Y93))*(R$11*R93)</f>
        <v>9.350602277775366</v>
      </c>
      <c r="AA93" s="63">
        <f>($L93+SUM($W93:Z93))*(S$11*S93)</f>
        <v>9.832370390614726</v>
      </c>
      <c r="AB93" s="63">
        <f>($L93+SUM($W93:AA93))*(T$11*T93)</f>
        <v>10.310477588758326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47.47665319595316</v>
      </c>
    </row>
    <row r="94" spans="1:31" ht="12.75">
      <c r="A94" s="3">
        <v>3</v>
      </c>
      <c r="B94" s="15">
        <f t="shared" si="13"/>
        <v>42795</v>
      </c>
      <c r="C94" s="243">
        <f t="shared" si="87"/>
        <v>42830</v>
      </c>
      <c r="D94" s="243">
        <f t="shared" si="87"/>
        <v>42845</v>
      </c>
      <c r="E94" s="70" t="s">
        <v>141</v>
      </c>
      <c r="F94" s="3">
        <v>9</v>
      </c>
      <c r="G94" s="359">
        <f>+'[2]Load WS'!$G$16+'[2]Load WS'!$G$17+'[2]Load WS'!$G$18</f>
        <v>21</v>
      </c>
      <c r="H94" s="246">
        <f t="shared" si="93"/>
        <v>1623.7</v>
      </c>
      <c r="I94" s="246">
        <f t="shared" si="66"/>
        <v>1666.38</v>
      </c>
      <c r="J94" s="56">
        <f t="shared" si="15"/>
        <v>34993.98</v>
      </c>
      <c r="K94" s="57">
        <f t="shared" si="83"/>
        <v>34097.700000000004</v>
      </c>
      <c r="L94" s="58">
        <f>+J94-K94</f>
        <v>896.2799999999988</v>
      </c>
      <c r="M94" s="55">
        <f t="shared" si="89"/>
        <v>42.537665002378546</v>
      </c>
      <c r="N94" s="29">
        <f>SUM(L94:M94)</f>
        <v>938.8176650023773</v>
      </c>
      <c r="O94" s="16">
        <f t="shared" si="78"/>
        <v>0</v>
      </c>
      <c r="P94" s="16">
        <f t="shared" si="79"/>
        <v>72</v>
      </c>
      <c r="Q94" s="16">
        <f t="shared" si="80"/>
        <v>92</v>
      </c>
      <c r="R94" s="16">
        <f t="shared" si="91"/>
        <v>92</v>
      </c>
      <c r="S94" s="16">
        <f t="shared" si="92"/>
        <v>90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41">
        <f t="shared" si="96"/>
        <v>0</v>
      </c>
      <c r="X94" s="63">
        <f>($L94+SUM($W94:W94))*(P$11*P94)</f>
        <v>6.188015342465746</v>
      </c>
      <c r="Y94" s="63">
        <f>($L94+SUM($W94:X94))*(Q$11*Q94)</f>
        <v>8.27995860213382</v>
      </c>
      <c r="Z94" s="63">
        <f>($L94+SUM($W94:Y94))*(R$11*R94)</f>
        <v>8.899213718737556</v>
      </c>
      <c r="AA94" s="63">
        <f>($L94+SUM($W94:Z94))*(S$11*S94)</f>
        <v>9.357725082141451</v>
      </c>
      <c r="AB94" s="63">
        <f>($L94+SUM($W94:AA94))*(T$11*T94)</f>
        <v>9.81275225689997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42.537665002378546</v>
      </c>
    </row>
    <row r="95" spans="1:31" ht="12.75">
      <c r="A95" s="16">
        <v>4</v>
      </c>
      <c r="B95" s="15">
        <f t="shared" si="13"/>
        <v>42826</v>
      </c>
      <c r="C95" s="243">
        <f t="shared" si="87"/>
        <v>42858</v>
      </c>
      <c r="D95" s="243">
        <f t="shared" si="87"/>
        <v>42873</v>
      </c>
      <c r="E95" s="30" t="s">
        <v>141</v>
      </c>
      <c r="F95" s="3">
        <v>9</v>
      </c>
      <c r="G95" s="359">
        <f>+'[2]Load WS'!$H$16+'[2]Load WS'!$H$17+'[2]Load WS'!$H$18</f>
        <v>20</v>
      </c>
      <c r="H95" s="246">
        <f t="shared" si="93"/>
        <v>1623.7</v>
      </c>
      <c r="I95" s="246">
        <f t="shared" si="66"/>
        <v>1666.38</v>
      </c>
      <c r="J95" s="56">
        <f t="shared" si="15"/>
        <v>33327.600000000006</v>
      </c>
      <c r="K95" s="57">
        <f t="shared" si="83"/>
        <v>32474</v>
      </c>
      <c r="L95" s="58">
        <f aca="true" t="shared" si="97" ref="L95:L105">+J95-K95</f>
        <v>853.6000000000058</v>
      </c>
      <c r="M95" s="55">
        <f t="shared" si="89"/>
        <v>38.12789282597371</v>
      </c>
      <c r="N95" s="29">
        <f aca="true" t="shared" si="98" ref="N95:N105">SUM(L95:M95)</f>
        <v>891.7278928259796</v>
      </c>
      <c r="O95" s="16">
        <f t="shared" si="78"/>
        <v>0</v>
      </c>
      <c r="P95" s="16">
        <f t="shared" si="79"/>
        <v>44</v>
      </c>
      <c r="Q95" s="16">
        <f t="shared" si="80"/>
        <v>92</v>
      </c>
      <c r="R95" s="16">
        <f t="shared" si="91"/>
        <v>92</v>
      </c>
      <c r="S95" s="16">
        <f t="shared" si="92"/>
        <v>90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41">
        <f t="shared" si="96"/>
        <v>0</v>
      </c>
      <c r="X95" s="63">
        <f>($L95+SUM($W95:W95))*(P$11*P95)</f>
        <v>3.601490410958929</v>
      </c>
      <c r="Y95" s="63">
        <f>($L95+SUM($W95:X95))*(Q$11*Q95)</f>
        <v>7.86464753722805</v>
      </c>
      <c r="Z95" s="63">
        <f>($L95+SUM($W95:Y95))*(R$11*R95)</f>
        <v>8.452841689123728</v>
      </c>
      <c r="AA95" s="63">
        <f>($L95+SUM($W95:Z95))*(S$11*S95)</f>
        <v>8.888354768145188</v>
      </c>
      <c r="AB95" s="63">
        <f>($L95+SUM($W95:AA95))*(T$11*T95)</f>
        <v>9.320558420517818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38.12789282597371</v>
      </c>
    </row>
    <row r="96" spans="1:31" ht="12.75">
      <c r="A96" s="3">
        <v>5</v>
      </c>
      <c r="B96" s="15">
        <f t="shared" si="13"/>
        <v>42856</v>
      </c>
      <c r="C96" s="243">
        <f t="shared" si="87"/>
        <v>42891</v>
      </c>
      <c r="D96" s="243">
        <f t="shared" si="87"/>
        <v>42906</v>
      </c>
      <c r="E96" s="30" t="s">
        <v>141</v>
      </c>
      <c r="F96" s="3">
        <v>9</v>
      </c>
      <c r="G96" s="359">
        <f>+'[2]Load WS'!$I$16+'[2]Load WS'!$I$17+'[2]Load WS'!$I$18</f>
        <v>22</v>
      </c>
      <c r="H96" s="246">
        <f t="shared" si="93"/>
        <v>1623.7</v>
      </c>
      <c r="I96" s="246">
        <f aca="true" t="shared" si="99" ref="I96:I127">$J$3</f>
        <v>1666.38</v>
      </c>
      <c r="J96" s="56">
        <f t="shared" si="15"/>
        <v>36660.36</v>
      </c>
      <c r="K96" s="57">
        <f t="shared" si="83"/>
        <v>35721.4</v>
      </c>
      <c r="L96" s="58">
        <f t="shared" si="97"/>
        <v>938.9599999999991</v>
      </c>
      <c r="M96" s="55">
        <f t="shared" si="89"/>
        <v>38.84977719277603</v>
      </c>
      <c r="N96" s="29">
        <f t="shared" si="98"/>
        <v>977.8097771927752</v>
      </c>
      <c r="O96" s="16">
        <f t="shared" si="78"/>
        <v>0</v>
      </c>
      <c r="P96" s="16">
        <f t="shared" si="79"/>
        <v>11</v>
      </c>
      <c r="Q96" s="16">
        <f t="shared" si="80"/>
        <v>92</v>
      </c>
      <c r="R96" s="16">
        <f t="shared" si="91"/>
        <v>92</v>
      </c>
      <c r="S96" s="16">
        <f t="shared" si="92"/>
        <v>90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41">
        <f t="shared" si="96"/>
        <v>0</v>
      </c>
      <c r="X96" s="63">
        <f>($L96+SUM($W96:W96))*(P$11*P96)</f>
        <v>0.9904098630136979</v>
      </c>
      <c r="Y96" s="63">
        <f>($L96+SUM($W96:X96))*(Q$11*Q96)</f>
        <v>8.623851869997964</v>
      </c>
      <c r="Z96" s="63">
        <f>($L96+SUM($W96:Y96))*(R$11*R96)</f>
        <v>9.26882664003518</v>
      </c>
      <c r="AA96" s="63">
        <f>($L96+SUM($W96:Z96))*(S$11*S96)</f>
        <v>9.746381452650665</v>
      </c>
      <c r="AB96" s="63">
        <f>($L96+SUM($W96:AA96))*(T$11*T96)</f>
        <v>10.22030736707853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38.84977719277603</v>
      </c>
    </row>
    <row r="97" spans="1:31" ht="12.75">
      <c r="A97" s="3">
        <v>6</v>
      </c>
      <c r="B97" s="15">
        <f aca="true" t="shared" si="100" ref="B97:B148">DATE($N$1,A97,1)</f>
        <v>42887</v>
      </c>
      <c r="C97" s="243">
        <f t="shared" si="87"/>
        <v>42922</v>
      </c>
      <c r="D97" s="243">
        <f t="shared" si="87"/>
        <v>42937</v>
      </c>
      <c r="E97" s="30" t="s">
        <v>141</v>
      </c>
      <c r="F97" s="3">
        <v>9</v>
      </c>
      <c r="G97" s="359">
        <f>+'[2]Load WS'!$J$16+'[2]Load WS'!$J$17+'[2]Load WS'!$J$18</f>
        <v>19</v>
      </c>
      <c r="H97" s="246">
        <f t="shared" si="93"/>
        <v>1623.7</v>
      </c>
      <c r="I97" s="246">
        <f t="shared" si="99"/>
        <v>1666.38</v>
      </c>
      <c r="J97" s="56">
        <f aca="true" t="shared" si="101" ref="J97:J148">+$G97*I97</f>
        <v>31661.22</v>
      </c>
      <c r="K97" s="57">
        <f t="shared" si="83"/>
        <v>30850.3</v>
      </c>
      <c r="L97" s="77">
        <f t="shared" si="97"/>
        <v>810.9200000000019</v>
      </c>
      <c r="M97" s="78">
        <f t="shared" si="89"/>
        <v>30.995028797475165</v>
      </c>
      <c r="N97" s="76">
        <f t="shared" si="98"/>
        <v>841.915028797477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90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5.822627769863026</v>
      </c>
      <c r="Z97" s="63">
        <f>($L97+SUM($W97:Y97))*(R$11*R97)</f>
        <v>7.980657004645156</v>
      </c>
      <c r="AA97" s="63">
        <f>($L97+SUM($W97:Z97))*(S$11*S97)</f>
        <v>8.391841862061726</v>
      </c>
      <c r="AB97" s="63">
        <f>($L97+SUM($W97:AA97))*(T$11*T97)</f>
        <v>8.799902160905255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30.995028797475165</v>
      </c>
    </row>
    <row r="98" spans="1:31" ht="12.75">
      <c r="A98" s="16">
        <v>7</v>
      </c>
      <c r="B98" s="15">
        <f t="shared" si="100"/>
        <v>42917</v>
      </c>
      <c r="C98" s="243">
        <f t="shared" si="87"/>
        <v>42950</v>
      </c>
      <c r="D98" s="243">
        <f t="shared" si="87"/>
        <v>42965</v>
      </c>
      <c r="E98" s="30" t="s">
        <v>141</v>
      </c>
      <c r="F98" s="3">
        <v>9</v>
      </c>
      <c r="G98" s="359">
        <f>+'[2]Load WS'!$K$16+'[2]Load WS'!$K$17+'[2]Load WS'!$K$18</f>
        <v>14</v>
      </c>
      <c r="H98" s="246">
        <f aca="true" t="shared" si="103" ref="H98:H103">$K$8</f>
        <v>1651.41</v>
      </c>
      <c r="I98" s="246">
        <f t="shared" si="99"/>
        <v>1666.38</v>
      </c>
      <c r="J98" s="56">
        <f t="shared" si="101"/>
        <v>23329.32</v>
      </c>
      <c r="K98" s="74">
        <f t="shared" si="83"/>
        <v>23119.74</v>
      </c>
      <c r="L98" s="77">
        <f t="shared" si="97"/>
        <v>209.5799999999981</v>
      </c>
      <c r="M98" s="75">
        <f t="shared" si="89"/>
        <v>7.407325365748652</v>
      </c>
      <c r="N98" s="76">
        <f t="shared" si="98"/>
        <v>216.98732536574676</v>
      </c>
      <c r="O98" s="16">
        <f t="shared" si="78"/>
        <v>0</v>
      </c>
      <c r="P98" s="16">
        <f t="shared" si="79"/>
        <v>0</v>
      </c>
      <c r="Q98" s="16">
        <f t="shared" si="80"/>
        <v>44</v>
      </c>
      <c r="R98" s="16">
        <f t="shared" si="91"/>
        <v>92</v>
      </c>
      <c r="S98" s="16">
        <f t="shared" si="92"/>
        <v>90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41">
        <f t="shared" si="96"/>
        <v>0</v>
      </c>
      <c r="X98" s="63">
        <f>($L98+SUM($W98:W98))*(P$11*P98)</f>
        <v>0</v>
      </c>
      <c r="Y98" s="63">
        <f>($L98+SUM($W98:X98))*(Q$11*Q98)</f>
        <v>0.919625556164375</v>
      </c>
      <c r="Z98" s="63">
        <f>($L98+SUM($W98:Y98))*(R$11*R98)</f>
        <v>2.0568600854801056</v>
      </c>
      <c r="AA98" s="63">
        <f>($L98+SUM($W98:Z98))*(S$11*S98)</f>
        <v>2.1628350347207137</v>
      </c>
      <c r="AB98" s="63">
        <f>($L98+SUM($W98:AA98))*(T$11*T98)</f>
        <v>2.2680046893834573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7.407325365748652</v>
      </c>
    </row>
    <row r="99" spans="1:31" ht="12.75">
      <c r="A99" s="3">
        <v>8</v>
      </c>
      <c r="B99" s="15">
        <f t="shared" si="100"/>
        <v>42948</v>
      </c>
      <c r="C99" s="243">
        <f t="shared" si="87"/>
        <v>42984</v>
      </c>
      <c r="D99" s="243">
        <f t="shared" si="87"/>
        <v>42999</v>
      </c>
      <c r="E99" s="30" t="s">
        <v>141</v>
      </c>
      <c r="F99" s="3">
        <v>9</v>
      </c>
      <c r="G99" s="359">
        <f>+'[2]Load WS'!$L$16+'[2]Load WS'!$L$17+'[2]Load WS'!$L$18</f>
        <v>14</v>
      </c>
      <c r="H99" s="246">
        <f t="shared" si="103"/>
        <v>1651.41</v>
      </c>
      <c r="I99" s="246">
        <f t="shared" si="99"/>
        <v>1666.38</v>
      </c>
      <c r="J99" s="56">
        <f t="shared" si="101"/>
        <v>23329.32</v>
      </c>
      <c r="K99" s="74">
        <f>+$G99*H99</f>
        <v>23119.74</v>
      </c>
      <c r="L99" s="77">
        <f t="shared" si="97"/>
        <v>209.5799999999981</v>
      </c>
      <c r="M99" s="75">
        <f t="shared" si="89"/>
        <v>6.674803975027368</v>
      </c>
      <c r="N99" s="76">
        <f t="shared" si="98"/>
        <v>216.25480397502548</v>
      </c>
      <c r="O99" s="16">
        <f t="shared" si="78"/>
        <v>0</v>
      </c>
      <c r="P99" s="16">
        <f t="shared" si="79"/>
        <v>0</v>
      </c>
      <c r="Q99" s="16">
        <f t="shared" si="80"/>
        <v>10</v>
      </c>
      <c r="R99" s="16">
        <f t="shared" si="91"/>
        <v>92</v>
      </c>
      <c r="S99" s="16">
        <f t="shared" si="92"/>
        <v>90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41">
        <f t="shared" si="96"/>
        <v>0</v>
      </c>
      <c r="X99" s="63">
        <f>($L99+SUM($W99:W99))*(P$11*P99)</f>
        <v>0</v>
      </c>
      <c r="Y99" s="63">
        <f>($L99+SUM($W99:X99))*(Q$11*Q99)</f>
        <v>0.2090058082191762</v>
      </c>
      <c r="Z99" s="63">
        <f>($L99+SUM($W99:Y99))*(R$11*R99)</f>
        <v>2.049916389539362</v>
      </c>
      <c r="AA99" s="63">
        <f>($L99+SUM($W99:Z99))*(S$11*S99)</f>
        <v>2.155533580938269</v>
      </c>
      <c r="AB99" s="63">
        <f>($L99+SUM($W99:AA99))*(T$11*T99)</f>
        <v>2.2603481963305603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6.674803975027368</v>
      </c>
    </row>
    <row r="100" spans="1:31" ht="12.75">
      <c r="A100" s="3">
        <v>9</v>
      </c>
      <c r="B100" s="15">
        <f t="shared" si="100"/>
        <v>42979</v>
      </c>
      <c r="C100" s="243">
        <f t="shared" si="87"/>
        <v>43012</v>
      </c>
      <c r="D100" s="243">
        <f t="shared" si="87"/>
        <v>43027</v>
      </c>
      <c r="E100" s="30" t="s">
        <v>141</v>
      </c>
      <c r="F100" s="3">
        <v>9</v>
      </c>
      <c r="G100" s="359">
        <f>+'[2]Load WS'!$M$16+'[2]Load WS'!$M$17+'[2]Load WS'!$M$18</f>
        <v>16</v>
      </c>
      <c r="H100" s="246">
        <f t="shared" si="103"/>
        <v>1651.41</v>
      </c>
      <c r="I100" s="246">
        <f t="shared" si="99"/>
        <v>1666.38</v>
      </c>
      <c r="J100" s="56">
        <f t="shared" si="101"/>
        <v>26662.08</v>
      </c>
      <c r="K100" s="74">
        <f t="shared" si="83"/>
        <v>26422.56</v>
      </c>
      <c r="L100" s="77">
        <f t="shared" si="97"/>
        <v>239.52000000000044</v>
      </c>
      <c r="M100" s="75">
        <f t="shared" si="89"/>
        <v>6.914666636472855</v>
      </c>
      <c r="N100" s="76">
        <f t="shared" si="98"/>
        <v>246.43466663647328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74</v>
      </c>
      <c r="S100" s="16">
        <f t="shared" si="92"/>
        <v>90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41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1.8825178301369894</v>
      </c>
      <c r="AA100" s="63">
        <f>($L100+SUM($W100:Z100))*(S$11*S100)</f>
        <v>2.4563532910167956</v>
      </c>
      <c r="AB100" s="63">
        <f>($L100+SUM($W100:AA100))*(T$11*T100)</f>
        <v>2.5757955153190704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6.914666636472855</v>
      </c>
    </row>
    <row r="101" spans="1:31" ht="12.75">
      <c r="A101" s="16">
        <v>10</v>
      </c>
      <c r="B101" s="15">
        <f t="shared" si="100"/>
        <v>43009</v>
      </c>
      <c r="C101" s="243">
        <f t="shared" si="87"/>
        <v>43042</v>
      </c>
      <c r="D101" s="243">
        <f t="shared" si="87"/>
        <v>43059</v>
      </c>
      <c r="E101" s="30" t="s">
        <v>141</v>
      </c>
      <c r="F101" s="3">
        <v>9</v>
      </c>
      <c r="G101" s="359">
        <f>+'[2]Load WS'!$N$16+'[2]Load WS'!$N$17+'[2]Load WS'!$N$18</f>
        <v>17</v>
      </c>
      <c r="H101" s="246">
        <f t="shared" si="103"/>
        <v>1651.41</v>
      </c>
      <c r="I101" s="246">
        <f t="shared" si="99"/>
        <v>1666.38</v>
      </c>
      <c r="J101" s="56">
        <f t="shared" si="101"/>
        <v>28328.460000000003</v>
      </c>
      <c r="K101" s="74">
        <f t="shared" si="83"/>
        <v>28073.97</v>
      </c>
      <c r="L101" s="77">
        <f t="shared" si="97"/>
        <v>254.4900000000016</v>
      </c>
      <c r="M101" s="75">
        <f t="shared" si="89"/>
        <v>6.463862583242751</v>
      </c>
      <c r="N101" s="76">
        <f t="shared" si="98"/>
        <v>260.95386258324436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42</v>
      </c>
      <c r="S101" s="16">
        <f t="shared" si="92"/>
        <v>90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41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1.1352345698630206</v>
      </c>
      <c r="AA101" s="63">
        <f>($L101+SUM($W101:Z101))*(S$11*S101)</f>
        <v>2.601074304636924</v>
      </c>
      <c r="AB101" s="63">
        <f>($L101+SUM($W101:AA101))*(T$11*T101)</f>
        <v>2.727553708742806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6.463862583242751</v>
      </c>
    </row>
    <row r="102" spans="1:31" ht="12.75">
      <c r="A102" s="3">
        <v>11</v>
      </c>
      <c r="B102" s="15">
        <f t="shared" si="100"/>
        <v>43040</v>
      </c>
      <c r="C102" s="243">
        <f t="shared" si="87"/>
        <v>43074</v>
      </c>
      <c r="D102" s="243">
        <f t="shared" si="87"/>
        <v>43089</v>
      </c>
      <c r="E102" s="30" t="s">
        <v>141</v>
      </c>
      <c r="F102" s="3">
        <v>9</v>
      </c>
      <c r="G102" s="359">
        <f>+'[2]Load WS'!$O$16+'[2]Load WS'!$O$17+'[2]Load WS'!$O$18</f>
        <v>17</v>
      </c>
      <c r="H102" s="246">
        <f t="shared" si="103"/>
        <v>1651.41</v>
      </c>
      <c r="I102" s="246">
        <f t="shared" si="99"/>
        <v>1666.38</v>
      </c>
      <c r="J102" s="56">
        <f t="shared" si="101"/>
        <v>28328.460000000003</v>
      </c>
      <c r="K102" s="74">
        <f t="shared" si="83"/>
        <v>28073.97</v>
      </c>
      <c r="L102" s="77">
        <f t="shared" si="97"/>
        <v>254.4900000000016</v>
      </c>
      <c r="M102" s="75">
        <f t="shared" si="89"/>
        <v>5.636077535108665</v>
      </c>
      <c r="N102" s="76">
        <f t="shared" si="98"/>
        <v>260.12607753511026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12</v>
      </c>
      <c r="S102" s="16">
        <f t="shared" si="92"/>
        <v>90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41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0.32435273424657735</v>
      </c>
      <c r="AA102" s="63">
        <f>($L102+SUM($W102:Z102))*(S$11*S102)</f>
        <v>2.5928233042602677</v>
      </c>
      <c r="AB102" s="63">
        <f>($L102+SUM($W102:AA102))*(T$11*T102)</f>
        <v>2.71890149660182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5.636077535108665</v>
      </c>
    </row>
    <row r="103" spans="1:31" s="69" customFormat="1" ht="12.75">
      <c r="A103" s="3">
        <v>12</v>
      </c>
      <c r="B103" s="83">
        <f t="shared" si="100"/>
        <v>43070</v>
      </c>
      <c r="C103" s="243">
        <f t="shared" si="87"/>
        <v>43104</v>
      </c>
      <c r="D103" s="243">
        <f t="shared" si="87"/>
        <v>43119</v>
      </c>
      <c r="E103" s="84" t="s">
        <v>141</v>
      </c>
      <c r="F103" s="81">
        <v>9</v>
      </c>
      <c r="G103" s="360">
        <f>+'[2]Load WS'!$P$16+'[2]Load WS'!$P$17+'[2]Load WS'!$P$18</f>
        <v>22</v>
      </c>
      <c r="H103" s="247">
        <f t="shared" si="103"/>
        <v>1651.41</v>
      </c>
      <c r="I103" s="247">
        <f t="shared" si="99"/>
        <v>1666.38</v>
      </c>
      <c r="J103" s="85">
        <f t="shared" si="101"/>
        <v>36660.36</v>
      </c>
      <c r="K103" s="86">
        <f t="shared" si="83"/>
        <v>36331.020000000004</v>
      </c>
      <c r="L103" s="87">
        <f t="shared" si="97"/>
        <v>329.3399999999965</v>
      </c>
      <c r="M103" s="88">
        <f t="shared" si="89"/>
        <v>6.187938047228379</v>
      </c>
      <c r="N103" s="89">
        <f t="shared" si="98"/>
        <v>335.5279380472249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72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42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2.680917830136958</v>
      </c>
      <c r="AB103" s="90">
        <f>($L103+SUM($W103:AA103))*(T$11*T103)</f>
        <v>3.5070202170914215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6.187938047228379</v>
      </c>
    </row>
    <row r="104" spans="1:31" ht="12.75">
      <c r="A104" s="16">
        <v>1</v>
      </c>
      <c r="B104" s="15">
        <f t="shared" si="100"/>
        <v>42736</v>
      </c>
      <c r="C104" s="242">
        <f aca="true" t="shared" si="105" ref="C104:D123">+C92</f>
        <v>42769</v>
      </c>
      <c r="D104" s="242">
        <f t="shared" si="105"/>
        <v>42786</v>
      </c>
      <c r="E104" s="118" t="s">
        <v>380</v>
      </c>
      <c r="F104" s="16">
        <v>9</v>
      </c>
      <c r="G104" s="359">
        <f>+'[2]Load WS'!$E$28</f>
        <v>48</v>
      </c>
      <c r="H104" s="246">
        <f aca="true" t="shared" si="106" ref="H104:H109">$K$3</f>
        <v>1623.7</v>
      </c>
      <c r="I104" s="246">
        <f t="shared" si="99"/>
        <v>1666.38</v>
      </c>
      <c r="J104" s="56">
        <f t="shared" si="101"/>
        <v>79986.24</v>
      </c>
      <c r="K104" s="57">
        <f t="shared" si="83"/>
        <v>77937.6</v>
      </c>
      <c r="L104" s="58">
        <f t="shared" si="97"/>
        <v>2048.6399999999994</v>
      </c>
      <c r="M104" s="55">
        <f t="shared" si="89"/>
        <v>109.3573613286664</v>
      </c>
      <c r="N104" s="29">
        <f t="shared" si="98"/>
        <v>2157.9973613286656</v>
      </c>
      <c r="O104" s="16">
        <f aca="true" t="shared" si="107" ref="O104:O127">IF($D104&lt;O$8,O$12,IF($D104&lt;P$8,P$8-$D104,0))</f>
        <v>40</v>
      </c>
      <c r="P104" s="16">
        <f aca="true" t="shared" si="108" ref="P104:P127">IF($D104&lt;P$8,P$12,IF($D104&lt;Q$8,Q$8-$D104,0))</f>
        <v>91</v>
      </c>
      <c r="Q104" s="16">
        <f aca="true" t="shared" si="109" ref="Q104:Q127">IF($D104&lt;Q$8,Q$12,IF($D104&lt;R$8,R$8-$D104,0))</f>
        <v>92</v>
      </c>
      <c r="R104" s="16">
        <f t="shared" si="91"/>
        <v>92</v>
      </c>
      <c r="S104" s="16">
        <f t="shared" si="92"/>
        <v>90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41">
        <f>$L104*O$11*O104</f>
        <v>7.857797260273971</v>
      </c>
      <c r="X104" s="63">
        <f>($L104+SUM($W104:W104))*(P$11*P104)</f>
        <v>17.94505612129855</v>
      </c>
      <c r="Y104" s="63">
        <f>($L104+SUM($W104:X104))*(Q$11*Q104)</f>
        <v>19.032586924395087</v>
      </c>
      <c r="Z104" s="63">
        <f>($L104+SUM($W104:Y104))*(R$11*R104)</f>
        <v>20.456027233879198</v>
      </c>
      <c r="AA104" s="63">
        <f>($L104+SUM($W104:Z104))*(S$11*S104)</f>
        <v>21.509976631350654</v>
      </c>
      <c r="AB104" s="63">
        <f>($L104+SUM($W104:AA104))*(T$11*T104)</f>
        <v>22.555917157468933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109.3573613286664</v>
      </c>
    </row>
    <row r="105" spans="1:31" ht="12.75">
      <c r="A105" s="3">
        <v>2</v>
      </c>
      <c r="B105" s="15">
        <f t="shared" si="100"/>
        <v>42767</v>
      </c>
      <c r="C105" s="243">
        <f t="shared" si="105"/>
        <v>42797</v>
      </c>
      <c r="D105" s="243">
        <f t="shared" si="105"/>
        <v>42814</v>
      </c>
      <c r="E105" s="70" t="s">
        <v>380</v>
      </c>
      <c r="F105" s="3">
        <v>9</v>
      </c>
      <c r="G105" s="359">
        <f>+'[2]Load WS'!$F$28</f>
        <v>32</v>
      </c>
      <c r="H105" s="246">
        <f t="shared" si="106"/>
        <v>1623.7</v>
      </c>
      <c r="I105" s="246">
        <f t="shared" si="99"/>
        <v>1666.38</v>
      </c>
      <c r="J105" s="56">
        <f t="shared" si="101"/>
        <v>53324.16</v>
      </c>
      <c r="K105" s="57">
        <f t="shared" si="83"/>
        <v>51958.4</v>
      </c>
      <c r="L105" s="58">
        <f t="shared" si="97"/>
        <v>1365.760000000002</v>
      </c>
      <c r="M105" s="55">
        <f t="shared" si="89"/>
        <v>69.05695010320477</v>
      </c>
      <c r="N105" s="29">
        <f t="shared" si="98"/>
        <v>1434.8169501032069</v>
      </c>
      <c r="O105" s="16">
        <f t="shared" si="107"/>
        <v>12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90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41">
        <f aca="true" t="shared" si="112" ref="W105:W115">$L105*O$11*O105</f>
        <v>1.5715594520547969</v>
      </c>
      <c r="X105" s="63">
        <f>($L105+SUM($W105:W105))*(P$11*P105)</f>
        <v>11.931372648917263</v>
      </c>
      <c r="Y105" s="63">
        <f>($L105+SUM($W105:X105))*(Q$11*Q105)</f>
        <v>12.654453991834906</v>
      </c>
      <c r="Z105" s="63">
        <f>($L105+SUM($W105:Y105))*(R$11*R105)</f>
        <v>13.600876040400564</v>
      </c>
      <c r="AA105" s="63">
        <f>($L105+SUM($W105:Z105))*(S$11*S105)</f>
        <v>14.301629659076001</v>
      </c>
      <c r="AB105" s="63">
        <f>($L105+SUM($W105:AA105))*(T$11*T105)</f>
        <v>14.997058310921236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69.05695010320477</v>
      </c>
    </row>
    <row r="106" spans="1:31" ht="12.75">
      <c r="A106" s="3">
        <v>3</v>
      </c>
      <c r="B106" s="15">
        <f t="shared" si="100"/>
        <v>42795</v>
      </c>
      <c r="C106" s="243">
        <f t="shared" si="105"/>
        <v>42830</v>
      </c>
      <c r="D106" s="243">
        <f t="shared" si="105"/>
        <v>42845</v>
      </c>
      <c r="E106" s="70" t="s">
        <v>380</v>
      </c>
      <c r="F106" s="3">
        <v>9</v>
      </c>
      <c r="G106" s="359">
        <f>+'[2]Load WS'!$G$28</f>
        <v>28</v>
      </c>
      <c r="H106" s="246">
        <f t="shared" si="106"/>
        <v>1623.7</v>
      </c>
      <c r="I106" s="246">
        <f t="shared" si="99"/>
        <v>1666.38</v>
      </c>
      <c r="J106" s="56">
        <f t="shared" si="101"/>
        <v>46658.64</v>
      </c>
      <c r="K106" s="57">
        <f t="shared" si="83"/>
        <v>45463.6</v>
      </c>
      <c r="L106" s="58">
        <f>+J106-K106</f>
        <v>1195.0400000000009</v>
      </c>
      <c r="M106" s="55">
        <f t="shared" si="89"/>
        <v>56.716886669838175</v>
      </c>
      <c r="N106" s="29">
        <f>SUM(L106:M106)</f>
        <v>1251.756886669839</v>
      </c>
      <c r="O106" s="16">
        <f t="shared" si="107"/>
        <v>0</v>
      </c>
      <c r="P106" s="16">
        <f t="shared" si="108"/>
        <v>72</v>
      </c>
      <c r="Q106" s="16">
        <f t="shared" si="109"/>
        <v>92</v>
      </c>
      <c r="R106" s="16">
        <f t="shared" si="91"/>
        <v>92</v>
      </c>
      <c r="S106" s="16">
        <f t="shared" si="92"/>
        <v>90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41">
        <f t="shared" si="112"/>
        <v>0</v>
      </c>
      <c r="X106" s="63">
        <f>($L106+SUM($W106:W106))*(P$11*P106)</f>
        <v>8.250687123287678</v>
      </c>
      <c r="Y106" s="63">
        <f>($L106+SUM($W106:X106))*(Q$11*Q106)</f>
        <v>11.039944802845117</v>
      </c>
      <c r="Z106" s="63">
        <f>($L106+SUM($W106:Y106))*(R$11*R106)</f>
        <v>11.8656182916501</v>
      </c>
      <c r="AA106" s="63">
        <f>($L106+SUM($W106:Z106))*(S$11*S106)</f>
        <v>12.476966776188625</v>
      </c>
      <c r="AB106" s="63">
        <f>($L106+SUM($W106:AA106))*(T$11*T106)</f>
        <v>13.083669675866652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56.716886669838175</v>
      </c>
    </row>
    <row r="107" spans="1:31" ht="12.75">
      <c r="A107" s="16">
        <v>4</v>
      </c>
      <c r="B107" s="15">
        <f t="shared" si="100"/>
        <v>42826</v>
      </c>
      <c r="C107" s="243">
        <f t="shared" si="105"/>
        <v>42858</v>
      </c>
      <c r="D107" s="243">
        <f t="shared" si="105"/>
        <v>42873</v>
      </c>
      <c r="E107" s="70" t="s">
        <v>380</v>
      </c>
      <c r="F107" s="3">
        <v>9</v>
      </c>
      <c r="G107" s="359">
        <f>+'[2]Load WS'!$H$28</f>
        <v>23</v>
      </c>
      <c r="H107" s="246">
        <f t="shared" si="106"/>
        <v>1623.7</v>
      </c>
      <c r="I107" s="246">
        <f t="shared" si="99"/>
        <v>1666.38</v>
      </c>
      <c r="J107" s="56">
        <f t="shared" si="101"/>
        <v>38326.740000000005</v>
      </c>
      <c r="K107" s="57">
        <f t="shared" si="83"/>
        <v>37345.1</v>
      </c>
      <c r="L107" s="58">
        <f aca="true" t="shared" si="113" ref="L107:L117">+J107-K107</f>
        <v>981.6400000000067</v>
      </c>
      <c r="M107" s="55">
        <f t="shared" si="89"/>
        <v>43.84707674986977</v>
      </c>
      <c r="N107" s="29">
        <f aca="true" t="shared" si="114" ref="N107:N117">SUM(L107:M107)</f>
        <v>1025.4870767498765</v>
      </c>
      <c r="O107" s="16">
        <f t="shared" si="107"/>
        <v>0</v>
      </c>
      <c r="P107" s="16">
        <f t="shared" si="108"/>
        <v>44</v>
      </c>
      <c r="Q107" s="16">
        <f t="shared" si="109"/>
        <v>92</v>
      </c>
      <c r="R107" s="16">
        <f t="shared" si="91"/>
        <v>92</v>
      </c>
      <c r="S107" s="16">
        <f t="shared" si="92"/>
        <v>90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41">
        <f t="shared" si="112"/>
        <v>0</v>
      </c>
      <c r="X107" s="63">
        <f>($L107+SUM($W107:W107))*(P$11*P107)</f>
        <v>4.141713972602769</v>
      </c>
      <c r="Y107" s="63">
        <f>($L107+SUM($W107:X107))*(Q$11*Q107)</f>
        <v>9.044344667812258</v>
      </c>
      <c r="Z107" s="63">
        <f>($L107+SUM($W107:Y107))*(R$11*R107)</f>
        <v>9.720767942492287</v>
      </c>
      <c r="AA107" s="63">
        <f>($L107+SUM($W107:Z107))*(S$11*S107)</f>
        <v>10.221607983366965</v>
      </c>
      <c r="AB107" s="63">
        <f>($L107+SUM($W107:AA107))*(T$11*T107)</f>
        <v>10.718642183595492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43.84707674986977</v>
      </c>
    </row>
    <row r="108" spans="1:31" ht="12.75">
      <c r="A108" s="3">
        <v>5</v>
      </c>
      <c r="B108" s="15">
        <f t="shared" si="100"/>
        <v>42856</v>
      </c>
      <c r="C108" s="243">
        <f t="shared" si="105"/>
        <v>42891</v>
      </c>
      <c r="D108" s="243">
        <f t="shared" si="105"/>
        <v>42906</v>
      </c>
      <c r="E108" s="70" t="s">
        <v>380</v>
      </c>
      <c r="F108" s="3">
        <v>9</v>
      </c>
      <c r="G108" s="359">
        <f>+'[2]Load WS'!$I$28</f>
        <v>37</v>
      </c>
      <c r="H108" s="246">
        <f t="shared" si="106"/>
        <v>1623.7</v>
      </c>
      <c r="I108" s="246">
        <f t="shared" si="99"/>
        <v>1666.38</v>
      </c>
      <c r="J108" s="56">
        <f t="shared" si="101"/>
        <v>61656.060000000005</v>
      </c>
      <c r="K108" s="57">
        <f t="shared" si="83"/>
        <v>60076.9</v>
      </c>
      <c r="L108" s="58">
        <f t="shared" si="113"/>
        <v>1579.1600000000035</v>
      </c>
      <c r="M108" s="55">
        <f t="shared" si="89"/>
        <v>65.33826164239626</v>
      </c>
      <c r="N108" s="29">
        <f t="shared" si="114"/>
        <v>1644.4982616423997</v>
      </c>
      <c r="O108" s="16">
        <f t="shared" si="107"/>
        <v>0</v>
      </c>
      <c r="P108" s="16">
        <f t="shared" si="108"/>
        <v>11</v>
      </c>
      <c r="Q108" s="16">
        <f t="shared" si="109"/>
        <v>92</v>
      </c>
      <c r="R108" s="16">
        <f t="shared" si="91"/>
        <v>92</v>
      </c>
      <c r="S108" s="16">
        <f t="shared" si="92"/>
        <v>90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41">
        <f t="shared" si="112"/>
        <v>0</v>
      </c>
      <c r="X108" s="63">
        <f>($L108+SUM($W108:W108))*(P$11*P108)</f>
        <v>1.6656893150684973</v>
      </c>
      <c r="Y108" s="63">
        <f>($L108+SUM($W108:X108))*(Q$11*Q108)</f>
        <v>14.503750872269347</v>
      </c>
      <c r="Z108" s="63">
        <f>($L108+SUM($W108:Y108))*(R$11*R108)</f>
        <v>15.58848116733194</v>
      </c>
      <c r="AA108" s="63">
        <f>($L108+SUM($W108:Z108))*(S$11*S108)</f>
        <v>16.391641534003444</v>
      </c>
      <c r="AB108" s="63">
        <f>($L108+SUM($W108:AA108))*(T$11*T108)</f>
        <v>17.188698753723035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65.33826164239626</v>
      </c>
    </row>
    <row r="109" spans="1:31" ht="12.75">
      <c r="A109" s="3">
        <v>6</v>
      </c>
      <c r="B109" s="15">
        <f t="shared" si="100"/>
        <v>42887</v>
      </c>
      <c r="C109" s="243">
        <f t="shared" si="105"/>
        <v>42922</v>
      </c>
      <c r="D109" s="243">
        <f t="shared" si="105"/>
        <v>42937</v>
      </c>
      <c r="E109" s="70" t="s">
        <v>380</v>
      </c>
      <c r="F109" s="3">
        <v>9</v>
      </c>
      <c r="G109" s="359">
        <f>+'[2]Load WS'!$J$28</f>
        <v>43</v>
      </c>
      <c r="H109" s="246">
        <f t="shared" si="106"/>
        <v>1623.7</v>
      </c>
      <c r="I109" s="246">
        <f t="shared" si="99"/>
        <v>1666.38</v>
      </c>
      <c r="J109" s="56">
        <f t="shared" si="101"/>
        <v>71654.34000000001</v>
      </c>
      <c r="K109" s="57">
        <f t="shared" si="83"/>
        <v>69819.1</v>
      </c>
      <c r="L109" s="77">
        <f t="shared" si="113"/>
        <v>1835.2400000000052</v>
      </c>
      <c r="M109" s="78">
        <f t="shared" si="89"/>
        <v>70.14664412060172</v>
      </c>
      <c r="N109" s="76">
        <f t="shared" si="114"/>
        <v>1905.386644120607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90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13.177526005479487</v>
      </c>
      <c r="Z109" s="63">
        <f>($L109+SUM($W109:Y109))*(R$11*R109)</f>
        <v>18.06148690524957</v>
      </c>
      <c r="AA109" s="63">
        <f>($L109+SUM($W109:Z109))*(S$11*S109)</f>
        <v>18.992063161508128</v>
      </c>
      <c r="AB109" s="63">
        <f>($L109+SUM($W109:AA109))*(T$11*T109)</f>
        <v>19.915568048364534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70.14664412060172</v>
      </c>
    </row>
    <row r="110" spans="1:31" ht="12.75">
      <c r="A110" s="16">
        <v>7</v>
      </c>
      <c r="B110" s="15">
        <f t="shared" si="100"/>
        <v>42917</v>
      </c>
      <c r="C110" s="243">
        <f t="shared" si="105"/>
        <v>42950</v>
      </c>
      <c r="D110" s="243">
        <f t="shared" si="105"/>
        <v>42965</v>
      </c>
      <c r="E110" s="70" t="s">
        <v>380</v>
      </c>
      <c r="F110" s="3">
        <v>9</v>
      </c>
      <c r="G110" s="359">
        <f>+'[2]Load WS'!$K$28</f>
        <v>51</v>
      </c>
      <c r="H110" s="246">
        <f aca="true" t="shared" si="116" ref="H110:H115">$K$8</f>
        <v>1651.41</v>
      </c>
      <c r="I110" s="246">
        <f t="shared" si="99"/>
        <v>1666.38</v>
      </c>
      <c r="J110" s="56">
        <f t="shared" si="101"/>
        <v>84985.38</v>
      </c>
      <c r="K110" s="74">
        <f t="shared" si="83"/>
        <v>84221.91</v>
      </c>
      <c r="L110" s="77">
        <f t="shared" si="113"/>
        <v>763.4700000000012</v>
      </c>
      <c r="M110" s="75">
        <f t="shared" si="89"/>
        <v>26.98382811808466</v>
      </c>
      <c r="N110" s="76">
        <f t="shared" si="114"/>
        <v>790.4538281180858</v>
      </c>
      <c r="O110" s="16">
        <f t="shared" si="107"/>
        <v>0</v>
      </c>
      <c r="P110" s="16">
        <f t="shared" si="108"/>
        <v>0</v>
      </c>
      <c r="Q110" s="16">
        <f t="shared" si="109"/>
        <v>44</v>
      </c>
      <c r="R110" s="16">
        <f t="shared" si="91"/>
        <v>92</v>
      </c>
      <c r="S110" s="16">
        <f t="shared" si="92"/>
        <v>90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41">
        <f t="shared" si="112"/>
        <v>0</v>
      </c>
      <c r="X110" s="63">
        <f>($L110+SUM($W110:W110))*(P$11*P110)</f>
        <v>0</v>
      </c>
      <c r="Y110" s="63">
        <f>($L110+SUM($W110:X110))*(Q$11*Q110)</f>
        <v>3.350064526027402</v>
      </c>
      <c r="Z110" s="63">
        <f>($L110+SUM($W110:Y110))*(R$11*R110)</f>
        <v>7.492847454249035</v>
      </c>
      <c r="AA110" s="63">
        <f>($L110+SUM($W110:Z110))*(S$11*S110)</f>
        <v>7.878899055054112</v>
      </c>
      <c r="AB110" s="63">
        <f>($L110+SUM($W110:AA110))*(T$11*T110)</f>
        <v>8.26201708275411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26.98382811808466</v>
      </c>
    </row>
    <row r="111" spans="1:31" ht="12.75">
      <c r="A111" s="3">
        <v>8</v>
      </c>
      <c r="B111" s="15">
        <f t="shared" si="100"/>
        <v>42948</v>
      </c>
      <c r="C111" s="243">
        <f t="shared" si="105"/>
        <v>42984</v>
      </c>
      <c r="D111" s="243">
        <f t="shared" si="105"/>
        <v>42999</v>
      </c>
      <c r="E111" s="70" t="s">
        <v>380</v>
      </c>
      <c r="F111" s="3">
        <v>9</v>
      </c>
      <c r="G111" s="359">
        <f>+'[2]Load WS'!$L$28</f>
        <v>48</v>
      </c>
      <c r="H111" s="246">
        <f t="shared" si="116"/>
        <v>1651.41</v>
      </c>
      <c r="I111" s="246">
        <f t="shared" si="99"/>
        <v>1666.38</v>
      </c>
      <c r="J111" s="56">
        <f t="shared" si="101"/>
        <v>79986.24</v>
      </c>
      <c r="K111" s="74">
        <f t="shared" si="83"/>
        <v>79267.68000000001</v>
      </c>
      <c r="L111" s="77">
        <f t="shared" si="113"/>
        <v>718.5599999999977</v>
      </c>
      <c r="M111" s="75">
        <f t="shared" si="89"/>
        <v>22.885042200093963</v>
      </c>
      <c r="N111" s="76">
        <f t="shared" si="114"/>
        <v>741.4450422000916</v>
      </c>
      <c r="O111" s="16">
        <f t="shared" si="107"/>
        <v>0</v>
      </c>
      <c r="P111" s="16">
        <f t="shared" si="108"/>
        <v>0</v>
      </c>
      <c r="Q111" s="16">
        <f t="shared" si="109"/>
        <v>10</v>
      </c>
      <c r="R111" s="16">
        <f t="shared" si="91"/>
        <v>92</v>
      </c>
      <c r="S111" s="16">
        <f t="shared" si="92"/>
        <v>90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41">
        <f t="shared" si="112"/>
        <v>0</v>
      </c>
      <c r="X111" s="63">
        <f>($L111+SUM($W111:W111))*(P$11*P111)</f>
        <v>0</v>
      </c>
      <c r="Y111" s="63">
        <f>($L111+SUM($W111:X111))*(Q$11*Q111)</f>
        <v>0.7165913424657511</v>
      </c>
      <c r="Z111" s="63">
        <f>($L111+SUM($W111:Y111))*(R$11*R111)</f>
        <v>7.028284764134996</v>
      </c>
      <c r="AA111" s="63">
        <f>($L111+SUM($W111:Z111))*(S$11*S111)</f>
        <v>7.39040084893125</v>
      </c>
      <c r="AB111" s="63">
        <f>($L111+SUM($W111:AA111))*(T$11*T111)</f>
        <v>7.749765244561966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22.885042200093963</v>
      </c>
    </row>
    <row r="112" spans="1:31" ht="12.75">
      <c r="A112" s="3">
        <v>9</v>
      </c>
      <c r="B112" s="15">
        <f t="shared" si="100"/>
        <v>42979</v>
      </c>
      <c r="C112" s="243">
        <f t="shared" si="105"/>
        <v>43012</v>
      </c>
      <c r="D112" s="243">
        <f t="shared" si="105"/>
        <v>43027</v>
      </c>
      <c r="E112" s="70" t="s">
        <v>380</v>
      </c>
      <c r="F112" s="3">
        <v>9</v>
      </c>
      <c r="G112" s="359">
        <f>+'[2]Load WS'!$M$28</f>
        <v>43</v>
      </c>
      <c r="H112" s="246">
        <f t="shared" si="116"/>
        <v>1651.41</v>
      </c>
      <c r="I112" s="246">
        <f t="shared" si="99"/>
        <v>1666.38</v>
      </c>
      <c r="J112" s="56">
        <f t="shared" si="101"/>
        <v>71654.34000000001</v>
      </c>
      <c r="K112" s="74">
        <f t="shared" si="83"/>
        <v>71010.63</v>
      </c>
      <c r="L112" s="77">
        <f t="shared" si="113"/>
        <v>643.7100000000064</v>
      </c>
      <c r="M112" s="75">
        <f t="shared" si="89"/>
        <v>18.58316658552095</v>
      </c>
      <c r="N112" s="76">
        <f t="shared" si="114"/>
        <v>662.2931665855274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74</v>
      </c>
      <c r="S112" s="16">
        <f t="shared" si="92"/>
        <v>90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41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5.0592666684932</v>
      </c>
      <c r="AA112" s="63">
        <f>($L112+SUM($W112:Z112))*(S$11*S112)</f>
        <v>6.601449469607692</v>
      </c>
      <c r="AB112" s="63">
        <f>($L112+SUM($W112:AA112))*(T$11*T112)</f>
        <v>6.922450447420057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18.58316658552095</v>
      </c>
    </row>
    <row r="113" spans="1:31" ht="12.75">
      <c r="A113" s="16">
        <v>10</v>
      </c>
      <c r="B113" s="15">
        <f t="shared" si="100"/>
        <v>43009</v>
      </c>
      <c r="C113" s="243">
        <f t="shared" si="105"/>
        <v>43042</v>
      </c>
      <c r="D113" s="243">
        <f t="shared" si="105"/>
        <v>43059</v>
      </c>
      <c r="E113" s="70" t="s">
        <v>380</v>
      </c>
      <c r="F113" s="3">
        <v>9</v>
      </c>
      <c r="G113" s="359">
        <f>+'[2]Load WS'!$N$28</f>
        <v>32</v>
      </c>
      <c r="H113" s="246">
        <f t="shared" si="116"/>
        <v>1651.41</v>
      </c>
      <c r="I113" s="246">
        <f t="shared" si="99"/>
        <v>1666.38</v>
      </c>
      <c r="J113" s="56">
        <f t="shared" si="101"/>
        <v>53324.16</v>
      </c>
      <c r="K113" s="74">
        <f t="shared" si="83"/>
        <v>52845.12</v>
      </c>
      <c r="L113" s="77">
        <f t="shared" si="113"/>
        <v>479.0400000000009</v>
      </c>
      <c r="M113" s="75">
        <f t="shared" si="89"/>
        <v>12.167270744927475</v>
      </c>
      <c r="N113" s="76">
        <f t="shared" si="114"/>
        <v>491.20727074492834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42</v>
      </c>
      <c r="S113" s="16">
        <f t="shared" si="92"/>
        <v>90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41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2.136912131506853</v>
      </c>
      <c r="AA113" s="63">
        <f>($L113+SUM($W113:Z113))*(S$11*S113)</f>
        <v>4.896139867551835</v>
      </c>
      <c r="AB113" s="63">
        <f>($L113+SUM($W113:AA113))*(T$11*T113)</f>
        <v>5.134218745868788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12.167270744927475</v>
      </c>
    </row>
    <row r="114" spans="1:31" ht="12.75">
      <c r="A114" s="3">
        <v>11</v>
      </c>
      <c r="B114" s="15">
        <f t="shared" si="100"/>
        <v>43040</v>
      </c>
      <c r="C114" s="243">
        <f t="shared" si="105"/>
        <v>43074</v>
      </c>
      <c r="D114" s="243">
        <f t="shared" si="105"/>
        <v>43089</v>
      </c>
      <c r="E114" s="70" t="s">
        <v>380</v>
      </c>
      <c r="F114" s="3">
        <v>9</v>
      </c>
      <c r="G114" s="359">
        <f>+'[2]Load WS'!$O$28</f>
        <v>18</v>
      </c>
      <c r="H114" s="246">
        <f t="shared" si="116"/>
        <v>1651.41</v>
      </c>
      <c r="I114" s="246">
        <f t="shared" si="99"/>
        <v>1666.38</v>
      </c>
      <c r="J114" s="56">
        <f t="shared" si="101"/>
        <v>29994.840000000004</v>
      </c>
      <c r="K114" s="74">
        <f t="shared" si="83"/>
        <v>29725.38</v>
      </c>
      <c r="L114" s="77">
        <f t="shared" si="113"/>
        <v>269.46000000000276</v>
      </c>
      <c r="M114" s="75">
        <f t="shared" si="89"/>
        <v>5.96761150776214</v>
      </c>
      <c r="N114" s="76">
        <f t="shared" si="114"/>
        <v>275.4276115077649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37">IF($D114&lt;R$8,R$12,IF($D114&lt;S$8,S$8-$D114,0))</f>
        <v>12</v>
      </c>
      <c r="S114" s="16">
        <f aca="true" t="shared" si="119" ref="S114:U137">IF($D114&lt;S$8,S$12,IF($D114&lt;T$8,T$8-$D114,0))</f>
        <v>90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41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0.3434323068493186</v>
      </c>
      <c r="AA114" s="63">
        <f>($L114+SUM($W114:Z114))*(S$11*S114)</f>
        <v>2.745342322157941</v>
      </c>
      <c r="AB114" s="63">
        <f>($L114+SUM($W114:AA114))*(T$11*T114)</f>
        <v>2.8788368787548797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5.96761150776214</v>
      </c>
    </row>
    <row r="115" spans="1:31" s="69" customFormat="1" ht="12.75">
      <c r="A115" s="3">
        <v>12</v>
      </c>
      <c r="B115" s="83">
        <f t="shared" si="100"/>
        <v>43070</v>
      </c>
      <c r="C115" s="243">
        <f t="shared" si="105"/>
        <v>43104</v>
      </c>
      <c r="D115" s="243">
        <f t="shared" si="105"/>
        <v>43119</v>
      </c>
      <c r="E115" s="386" t="s">
        <v>380</v>
      </c>
      <c r="F115" s="81">
        <v>9</v>
      </c>
      <c r="G115" s="360">
        <f>+'[2]Load WS'!$P$28</f>
        <v>45</v>
      </c>
      <c r="H115" s="247">
        <f t="shared" si="116"/>
        <v>1651.41</v>
      </c>
      <c r="I115" s="247">
        <f t="shared" si="99"/>
        <v>1666.38</v>
      </c>
      <c r="J115" s="85">
        <f t="shared" si="101"/>
        <v>74987.1</v>
      </c>
      <c r="K115" s="86">
        <f t="shared" si="83"/>
        <v>74313.45</v>
      </c>
      <c r="L115" s="87">
        <f t="shared" si="113"/>
        <v>673.6500000000087</v>
      </c>
      <c r="M115" s="88">
        <f t="shared" si="89"/>
        <v>12.657146005694711</v>
      </c>
      <c r="N115" s="89">
        <f t="shared" si="114"/>
        <v>686.3071460057034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72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42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5.4836955616439065</v>
      </c>
      <c r="AB115" s="90">
        <f>($L115+SUM($W115:AA115))*(T$11*T115)</f>
        <v>7.173450444050805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12.657146005694711</v>
      </c>
    </row>
    <row r="116" spans="1:31" ht="12.75">
      <c r="A116" s="16">
        <v>1</v>
      </c>
      <c r="B116" s="15">
        <f t="shared" si="100"/>
        <v>42736</v>
      </c>
      <c r="C116" s="242">
        <f t="shared" si="105"/>
        <v>42769</v>
      </c>
      <c r="D116" s="242">
        <f t="shared" si="105"/>
        <v>42786</v>
      </c>
      <c r="E116" s="118" t="s">
        <v>135</v>
      </c>
      <c r="F116" s="16">
        <v>9</v>
      </c>
      <c r="G116" s="359">
        <f>+'[2]Load WS'!$E$19</f>
        <v>1124</v>
      </c>
      <c r="H116" s="246">
        <f aca="true" t="shared" si="120" ref="H116:H121">$K$3</f>
        <v>1623.7</v>
      </c>
      <c r="I116" s="246">
        <f t="shared" si="99"/>
        <v>1666.38</v>
      </c>
      <c r="J116" s="56">
        <f t="shared" si="101"/>
        <v>1873011.12</v>
      </c>
      <c r="K116" s="57">
        <f t="shared" si="83"/>
        <v>1825038.8</v>
      </c>
      <c r="L116" s="58">
        <f t="shared" si="113"/>
        <v>47972.320000000065</v>
      </c>
      <c r="M116" s="55">
        <f t="shared" si="89"/>
        <v>2560.784877779609</v>
      </c>
      <c r="N116" s="29">
        <f t="shared" si="114"/>
        <v>50533.104877779675</v>
      </c>
      <c r="O116" s="16">
        <f t="shared" si="107"/>
        <v>40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90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41">
        <f>$L116*O$11*O116</f>
        <v>184.00341917808245</v>
      </c>
      <c r="X116" s="63">
        <f>($L116+SUM($W116:W116))*(P$11*P116)</f>
        <v>420.21339750707506</v>
      </c>
      <c r="Y116" s="63">
        <f>($L116+SUM($W116:X116))*(Q$11*Q116)</f>
        <v>445.679743812919</v>
      </c>
      <c r="Z116" s="63">
        <f>($L116+SUM($W116:Y116))*(R$11*R116)</f>
        <v>479.01197106000535</v>
      </c>
      <c r="AA116" s="63">
        <f>($L116+SUM($W116:Z116))*(S$11*S116)</f>
        <v>503.6919527841286</v>
      </c>
      <c r="AB116" s="63">
        <f>($L116+SUM($W116:AA116))*(T$11*T116)</f>
        <v>528.1843934373984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2560.784877779609</v>
      </c>
    </row>
    <row r="117" spans="1:31" ht="12.75">
      <c r="A117" s="3">
        <v>2</v>
      </c>
      <c r="B117" s="15">
        <f t="shared" si="100"/>
        <v>42767</v>
      </c>
      <c r="C117" s="243">
        <f t="shared" si="105"/>
        <v>42797</v>
      </c>
      <c r="D117" s="243">
        <f t="shared" si="105"/>
        <v>42814</v>
      </c>
      <c r="E117" s="70" t="s">
        <v>135</v>
      </c>
      <c r="F117" s="3">
        <v>9</v>
      </c>
      <c r="G117" s="359">
        <f>+'[2]Load WS'!$F$19</f>
        <v>734</v>
      </c>
      <c r="H117" s="246">
        <f t="shared" si="120"/>
        <v>1623.7</v>
      </c>
      <c r="I117" s="246">
        <f t="shared" si="99"/>
        <v>1666.38</v>
      </c>
      <c r="J117" s="56">
        <f t="shared" si="101"/>
        <v>1223122.9200000002</v>
      </c>
      <c r="K117" s="57">
        <f t="shared" si="83"/>
        <v>1191795.8</v>
      </c>
      <c r="L117" s="58">
        <f t="shared" si="113"/>
        <v>31327.12000000011</v>
      </c>
      <c r="M117" s="55">
        <f t="shared" si="89"/>
        <v>1583.9937929922626</v>
      </c>
      <c r="N117" s="29">
        <f t="shared" si="114"/>
        <v>32911.11379299237</v>
      </c>
      <c r="O117" s="16">
        <f t="shared" si="107"/>
        <v>12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90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41">
        <f aca="true" t="shared" si="123" ref="W117:W127">$L117*O$11*O117</f>
        <v>36.04764493150698</v>
      </c>
      <c r="X117" s="63">
        <f>($L117+SUM($W117:W117))*(P$11*P117)</f>
        <v>273.6758601345403</v>
      </c>
      <c r="Y117" s="63">
        <f>($L117+SUM($W117:X117))*(Q$11*Q117)</f>
        <v>290.2615384377138</v>
      </c>
      <c r="Z117" s="63">
        <f>($L117+SUM($W117:Y117))*(R$11*R117)</f>
        <v>311.9700941766886</v>
      </c>
      <c r="AA117" s="63">
        <f>($L117+SUM($W117:Z117))*(S$11*S117)</f>
        <v>328.0436303050564</v>
      </c>
      <c r="AB117" s="63">
        <f>($L117+SUM($W117:AA117))*(T$11*T117)</f>
        <v>343.99502500675663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1583.9937929922626</v>
      </c>
    </row>
    <row r="118" spans="1:31" ht="12.75">
      <c r="A118" s="3">
        <v>3</v>
      </c>
      <c r="B118" s="15">
        <f t="shared" si="100"/>
        <v>42795</v>
      </c>
      <c r="C118" s="243">
        <f t="shared" si="105"/>
        <v>42830</v>
      </c>
      <c r="D118" s="243">
        <f t="shared" si="105"/>
        <v>42845</v>
      </c>
      <c r="E118" s="70" t="s">
        <v>135</v>
      </c>
      <c r="F118" s="3">
        <v>9</v>
      </c>
      <c r="G118" s="359">
        <f>+'[2]Load WS'!$G$19</f>
        <v>512</v>
      </c>
      <c r="H118" s="246">
        <f t="shared" si="120"/>
        <v>1623.7</v>
      </c>
      <c r="I118" s="246">
        <f t="shared" si="99"/>
        <v>1666.38</v>
      </c>
      <c r="J118" s="56">
        <f t="shared" si="101"/>
        <v>853186.56</v>
      </c>
      <c r="K118" s="57">
        <f t="shared" si="83"/>
        <v>831334.4</v>
      </c>
      <c r="L118" s="58">
        <f>+J118-K118</f>
        <v>21852.160000000033</v>
      </c>
      <c r="M118" s="55">
        <f t="shared" si="89"/>
        <v>1037.1087848198988</v>
      </c>
      <c r="N118" s="29">
        <f>SUM(L118:M118)</f>
        <v>22889.26878481993</v>
      </c>
      <c r="O118" s="16">
        <f t="shared" si="107"/>
        <v>0</v>
      </c>
      <c r="P118" s="16">
        <f t="shared" si="108"/>
        <v>72</v>
      </c>
      <c r="Q118" s="16">
        <f t="shared" si="109"/>
        <v>92</v>
      </c>
      <c r="R118" s="16">
        <f t="shared" si="118"/>
        <v>92</v>
      </c>
      <c r="S118" s="16">
        <f t="shared" si="119"/>
        <v>90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41">
        <f t="shared" si="123"/>
        <v>0</v>
      </c>
      <c r="X118" s="63">
        <f>($L118+SUM($W118:W118))*(P$11*P118)</f>
        <v>150.86970739726053</v>
      </c>
      <c r="Y118" s="63">
        <f>($L118+SUM($W118:X118))*(Q$11*Q118)</f>
        <v>201.8732763948823</v>
      </c>
      <c r="Z118" s="63">
        <f>($L118+SUM($W118:Y118))*(R$11*R118)</f>
        <v>216.97130590445911</v>
      </c>
      <c r="AA118" s="63">
        <f>($L118+SUM($W118:Z118))*(S$11*S118)</f>
        <v>228.15024962173507</v>
      </c>
      <c r="AB118" s="63">
        <f>($L118+SUM($W118:AA118))*(T$11*T118)</f>
        <v>239.2442455015618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1037.1087848198988</v>
      </c>
    </row>
    <row r="119" spans="1:31" ht="12.75">
      <c r="A119" s="16">
        <v>4</v>
      </c>
      <c r="B119" s="15">
        <f t="shared" si="100"/>
        <v>42826</v>
      </c>
      <c r="C119" s="243">
        <f t="shared" si="105"/>
        <v>42858</v>
      </c>
      <c r="D119" s="243">
        <f t="shared" si="105"/>
        <v>42873</v>
      </c>
      <c r="E119" s="30" t="s">
        <v>135</v>
      </c>
      <c r="F119" s="3">
        <v>9</v>
      </c>
      <c r="G119" s="359">
        <f>+'[2]Load WS'!$H$19</f>
        <v>481</v>
      </c>
      <c r="H119" s="246">
        <f t="shared" si="120"/>
        <v>1623.7</v>
      </c>
      <c r="I119" s="246">
        <f t="shared" si="99"/>
        <v>1666.38</v>
      </c>
      <c r="J119" s="56">
        <f t="shared" si="101"/>
        <v>801528.78</v>
      </c>
      <c r="K119" s="57">
        <f t="shared" si="83"/>
        <v>780999.7000000001</v>
      </c>
      <c r="L119" s="58">
        <f aca="true" t="shared" si="124" ref="L119:L127">+J119-K119</f>
        <v>20529.079999999958</v>
      </c>
      <c r="M119" s="55">
        <f t="shared" si="89"/>
        <v>916.9758224646597</v>
      </c>
      <c r="N119" s="29">
        <f aca="true" t="shared" si="125" ref="N119:N127">SUM(L119:M119)</f>
        <v>21446.05582246462</v>
      </c>
      <c r="O119" s="16">
        <f aca="true" t="shared" si="126" ref="O119:U119">IF($D119&lt;O$8,O$12,IF($D119&lt;P$8,P$8-$D119,0))</f>
        <v>0</v>
      </c>
      <c r="P119" s="16">
        <f t="shared" si="126"/>
        <v>44</v>
      </c>
      <c r="Q119" s="16">
        <f t="shared" si="126"/>
        <v>92</v>
      </c>
      <c r="R119" s="16">
        <f t="shared" si="126"/>
        <v>92</v>
      </c>
      <c r="S119" s="16">
        <f t="shared" si="126"/>
        <v>90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86.61584438356148</v>
      </c>
      <c r="Y119" s="63">
        <f>($L119+SUM($W119:X119))*(Q$11*Q119)</f>
        <v>189.14477327033293</v>
      </c>
      <c r="Z119" s="63">
        <f>($L119+SUM($W119:Y119))*(R$11*R119)</f>
        <v>203.29084262342386</v>
      </c>
      <c r="AA119" s="63">
        <f>($L119+SUM($W119:Z119))*(S$11*S119)</f>
        <v>213.76493217388986</v>
      </c>
      <c r="AB119" s="63">
        <f>($L119+SUM($W119:AA119))*(T$11*T119)</f>
        <v>224.15943001345155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916.9758224646597</v>
      </c>
    </row>
    <row r="120" spans="1:31" ht="12.75">
      <c r="A120" s="3">
        <v>5</v>
      </c>
      <c r="B120" s="15">
        <f t="shared" si="100"/>
        <v>42856</v>
      </c>
      <c r="C120" s="243">
        <f t="shared" si="105"/>
        <v>42891</v>
      </c>
      <c r="D120" s="243">
        <f t="shared" si="105"/>
        <v>42906</v>
      </c>
      <c r="E120" s="30" t="s">
        <v>135</v>
      </c>
      <c r="F120" s="3">
        <v>9</v>
      </c>
      <c r="G120" s="359">
        <f>+'[2]Load WS'!$I$19</f>
        <v>630</v>
      </c>
      <c r="H120" s="246">
        <f t="shared" si="120"/>
        <v>1623.7</v>
      </c>
      <c r="I120" s="246">
        <f t="shared" si="99"/>
        <v>1666.38</v>
      </c>
      <c r="J120" s="56">
        <f t="shared" si="101"/>
        <v>1049819.4000000001</v>
      </c>
      <c r="K120" s="57">
        <f t="shared" si="83"/>
        <v>1022931</v>
      </c>
      <c r="L120" s="58">
        <f t="shared" si="124"/>
        <v>26888.40000000014</v>
      </c>
      <c r="M120" s="55">
        <f t="shared" si="89"/>
        <v>1112.5163468840478</v>
      </c>
      <c r="N120" s="29">
        <f t="shared" si="125"/>
        <v>28000.916346884187</v>
      </c>
      <c r="O120" s="16">
        <f t="shared" si="107"/>
        <v>0</v>
      </c>
      <c r="P120" s="16">
        <f t="shared" si="108"/>
        <v>11</v>
      </c>
      <c r="Q120" s="16">
        <f t="shared" si="109"/>
        <v>92</v>
      </c>
      <c r="R120" s="16">
        <f t="shared" si="118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41">
        <f t="shared" si="123"/>
        <v>0</v>
      </c>
      <c r="X120" s="63">
        <f>($L120+SUM($W120:W120))*(P$11*P120)</f>
        <v>28.361736986301523</v>
      </c>
      <c r="Y120" s="63">
        <f>($L120+SUM($W120:X120))*(Q$11*Q120)</f>
        <v>246.95575809539775</v>
      </c>
      <c r="Z120" s="63">
        <f>($L120+SUM($W120:Y120))*(R$11*R120)</f>
        <v>265.4254901464636</v>
      </c>
      <c r="AA120" s="63">
        <f>($L120+SUM($W120:Z120))*(S$11*S120)</f>
        <v>279.1009234168162</v>
      </c>
      <c r="AB120" s="63">
        <f>($L120+SUM($W120:AA120))*(T$11*T120)</f>
        <v>292.6724382390688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1112.5163468840478</v>
      </c>
    </row>
    <row r="121" spans="1:31" ht="12.75">
      <c r="A121" s="3">
        <v>6</v>
      </c>
      <c r="B121" s="15">
        <f t="shared" si="100"/>
        <v>42887</v>
      </c>
      <c r="C121" s="243">
        <f t="shared" si="105"/>
        <v>42922</v>
      </c>
      <c r="D121" s="243">
        <f t="shared" si="105"/>
        <v>42937</v>
      </c>
      <c r="E121" s="30" t="s">
        <v>135</v>
      </c>
      <c r="F121" s="3">
        <v>9</v>
      </c>
      <c r="G121" s="359">
        <f>+'[2]Load WS'!$J$19</f>
        <v>776</v>
      </c>
      <c r="H121" s="246">
        <f t="shared" si="120"/>
        <v>1623.7</v>
      </c>
      <c r="I121" s="246">
        <f t="shared" si="99"/>
        <v>1666.38</v>
      </c>
      <c r="J121" s="56">
        <f t="shared" si="101"/>
        <v>1293110.8800000001</v>
      </c>
      <c r="K121" s="57">
        <f t="shared" si="83"/>
        <v>1259991.2</v>
      </c>
      <c r="L121" s="77">
        <f t="shared" si="124"/>
        <v>33119.68000000017</v>
      </c>
      <c r="M121" s="78">
        <f t="shared" si="89"/>
        <v>1265.9022287810942</v>
      </c>
      <c r="N121" s="76">
        <f t="shared" si="125"/>
        <v>34385.58222878126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90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41">
        <f t="shared" si="123"/>
        <v>0</v>
      </c>
      <c r="X121" s="63">
        <f>($L121+SUM($W121:W121))*(P$11*P121)</f>
        <v>0</v>
      </c>
      <c r="Y121" s="63">
        <f>($L121+SUM($W121:X121))*(Q$11*Q121)</f>
        <v>237.80837628493268</v>
      </c>
      <c r="Z121" s="63">
        <f>($L121+SUM($W121:Y121))*(R$11*R121)</f>
        <v>325.9468334528767</v>
      </c>
      <c r="AA121" s="63">
        <f>($L121+SUM($W121:Z121))*(S$11*S121)</f>
        <v>342.7404886821009</v>
      </c>
      <c r="AB121" s="63">
        <f>($L121+SUM($W121:AA121))*(T$11*T121)</f>
        <v>359.40653036118397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1265.9022287810942</v>
      </c>
    </row>
    <row r="122" spans="1:31" ht="12.75">
      <c r="A122" s="16">
        <v>7</v>
      </c>
      <c r="B122" s="15">
        <f t="shared" si="100"/>
        <v>42917</v>
      </c>
      <c r="C122" s="243">
        <f t="shared" si="105"/>
        <v>42950</v>
      </c>
      <c r="D122" s="243">
        <f t="shared" si="105"/>
        <v>42965</v>
      </c>
      <c r="E122" s="30" t="s">
        <v>135</v>
      </c>
      <c r="F122" s="3">
        <v>9</v>
      </c>
      <c r="G122" s="359">
        <f>+'[2]Load WS'!$K$19</f>
        <v>837</v>
      </c>
      <c r="H122" s="246">
        <f aca="true" t="shared" si="127" ref="H122:H127">$K$8</f>
        <v>1651.41</v>
      </c>
      <c r="I122" s="246">
        <f t="shared" si="99"/>
        <v>1666.38</v>
      </c>
      <c r="J122" s="56">
        <f t="shared" si="101"/>
        <v>1394760.06</v>
      </c>
      <c r="K122" s="74">
        <f t="shared" si="83"/>
        <v>1382230.1700000002</v>
      </c>
      <c r="L122" s="77">
        <f t="shared" si="124"/>
        <v>12529.889999999898</v>
      </c>
      <c r="M122" s="75">
        <f t="shared" si="89"/>
        <v>442.8522379379733</v>
      </c>
      <c r="N122" s="76">
        <f t="shared" si="125"/>
        <v>12972.742237937871</v>
      </c>
      <c r="O122" s="16">
        <f t="shared" si="107"/>
        <v>0</v>
      </c>
      <c r="P122" s="16">
        <f t="shared" si="108"/>
        <v>0</v>
      </c>
      <c r="Q122" s="16">
        <f t="shared" si="109"/>
        <v>44</v>
      </c>
      <c r="R122" s="16">
        <f t="shared" si="118"/>
        <v>92</v>
      </c>
      <c r="S122" s="16">
        <f t="shared" si="119"/>
        <v>90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41">
        <f t="shared" si="123"/>
        <v>0</v>
      </c>
      <c r="X122" s="63">
        <f>($L122+SUM($W122:W122))*(P$11*P122)</f>
        <v>0</v>
      </c>
      <c r="Y122" s="63">
        <f>($L122+SUM($W122:X122))*(Q$11*Q122)</f>
        <v>54.98047075068447</v>
      </c>
      <c r="Z122" s="63">
        <f>($L122+SUM($W122:Y122))*(R$11*R122)</f>
        <v>122.97084939620358</v>
      </c>
      <c r="AA122" s="63">
        <f>($L122+SUM($W122:Z122))*(S$11*S122)</f>
        <v>129.30663743294562</v>
      </c>
      <c r="AB122" s="63">
        <f>($L122+SUM($W122:AA122))*(T$11*T122)</f>
        <v>135.59428035813966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442.8522379379733</v>
      </c>
    </row>
    <row r="123" spans="1:31" ht="12.75">
      <c r="A123" s="3">
        <v>8</v>
      </c>
      <c r="B123" s="15">
        <f t="shared" si="100"/>
        <v>42948</v>
      </c>
      <c r="C123" s="243">
        <f t="shared" si="105"/>
        <v>42984</v>
      </c>
      <c r="D123" s="243">
        <f t="shared" si="105"/>
        <v>42999</v>
      </c>
      <c r="E123" s="30" t="s">
        <v>135</v>
      </c>
      <c r="F123" s="3">
        <v>9</v>
      </c>
      <c r="G123" s="359">
        <f>+'[2]Load WS'!$L$19</f>
        <v>848</v>
      </c>
      <c r="H123" s="246">
        <f t="shared" si="127"/>
        <v>1651.41</v>
      </c>
      <c r="I123" s="246">
        <f t="shared" si="99"/>
        <v>1666.38</v>
      </c>
      <c r="J123" s="56">
        <f t="shared" si="101"/>
        <v>1413090.24</v>
      </c>
      <c r="K123" s="74">
        <f t="shared" si="83"/>
        <v>1400395.6800000002</v>
      </c>
      <c r="L123" s="77">
        <f t="shared" si="124"/>
        <v>12694.559999999823</v>
      </c>
      <c r="M123" s="75">
        <f t="shared" si="89"/>
        <v>404.3024122016557</v>
      </c>
      <c r="N123" s="76">
        <f t="shared" si="125"/>
        <v>13098.862412201479</v>
      </c>
      <c r="O123" s="16">
        <f t="shared" si="107"/>
        <v>0</v>
      </c>
      <c r="P123" s="16">
        <f t="shared" si="108"/>
        <v>0</v>
      </c>
      <c r="Q123" s="16">
        <f t="shared" si="109"/>
        <v>10</v>
      </c>
      <c r="R123" s="16">
        <f t="shared" si="118"/>
        <v>92</v>
      </c>
      <c r="S123" s="16">
        <f t="shared" si="119"/>
        <v>90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41">
        <f t="shared" si="123"/>
        <v>0</v>
      </c>
      <c r="X123" s="63">
        <f>($L123+SUM($W123:W123))*(P$11*P123)</f>
        <v>0</v>
      </c>
      <c r="Y123" s="63">
        <f>($L123+SUM($W123:X123))*(Q$11*Q123)</f>
        <v>12.659780383561467</v>
      </c>
      <c r="Z123" s="63">
        <f>($L123+SUM($W123:Y123))*(R$11*R123)</f>
        <v>124.1663641663836</v>
      </c>
      <c r="AA123" s="63">
        <f>($L123+SUM($W123:Z123))*(S$11*S123)</f>
        <v>130.56374833111735</v>
      </c>
      <c r="AB123" s="63">
        <f>($L123+SUM($W123:AA123))*(T$11*T123)</f>
        <v>136.91251932059328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404.3024122016557</v>
      </c>
    </row>
    <row r="124" spans="1:31" ht="12.75">
      <c r="A124" s="3">
        <v>9</v>
      </c>
      <c r="B124" s="15">
        <f t="shared" si="100"/>
        <v>42979</v>
      </c>
      <c r="C124" s="243">
        <f aca="true" t="shared" si="129" ref="C124:D128">+C112</f>
        <v>43012</v>
      </c>
      <c r="D124" s="243">
        <f t="shared" si="129"/>
        <v>43027</v>
      </c>
      <c r="E124" s="30" t="s">
        <v>135</v>
      </c>
      <c r="F124" s="3">
        <v>9</v>
      </c>
      <c r="G124" s="359">
        <f>+'[2]Load WS'!$M$19</f>
        <v>755</v>
      </c>
      <c r="H124" s="246">
        <f t="shared" si="127"/>
        <v>1651.41</v>
      </c>
      <c r="I124" s="246">
        <f t="shared" si="99"/>
        <v>1666.38</v>
      </c>
      <c r="J124" s="56">
        <f t="shared" si="101"/>
        <v>1258116.9000000001</v>
      </c>
      <c r="K124" s="74">
        <f t="shared" si="83"/>
        <v>1246814.55</v>
      </c>
      <c r="L124" s="77">
        <f t="shared" si="124"/>
        <v>11302.350000000093</v>
      </c>
      <c r="M124" s="75">
        <f t="shared" si="89"/>
        <v>326.28583190856494</v>
      </c>
      <c r="N124" s="76">
        <f t="shared" si="125"/>
        <v>11628.635831908658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74</v>
      </c>
      <c r="S124" s="16">
        <f t="shared" si="119"/>
        <v>90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41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88.83131010958975</v>
      </c>
      <c r="AA124" s="63">
        <f>($L124+SUM($W124:Z124))*(S$11*S124)</f>
        <v>115.90917091985578</v>
      </c>
      <c r="AB124" s="63">
        <f>($L124+SUM($W124:AA124))*(T$11*T124)</f>
        <v>121.5453508791194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326.28583190856494</v>
      </c>
    </row>
    <row r="125" spans="1:31" ht="12.75">
      <c r="A125" s="16">
        <v>10</v>
      </c>
      <c r="B125" s="15">
        <f t="shared" si="100"/>
        <v>43009</v>
      </c>
      <c r="C125" s="243">
        <f t="shared" si="129"/>
        <v>43042</v>
      </c>
      <c r="D125" s="243">
        <f t="shared" si="129"/>
        <v>43059</v>
      </c>
      <c r="E125" s="30" t="s">
        <v>135</v>
      </c>
      <c r="F125" s="3">
        <v>9</v>
      </c>
      <c r="G125" s="359">
        <f>+'[2]Load WS'!$N$19</f>
        <v>731</v>
      </c>
      <c r="H125" s="246">
        <f t="shared" si="127"/>
        <v>1651.41</v>
      </c>
      <c r="I125" s="246">
        <f t="shared" si="99"/>
        <v>1666.38</v>
      </c>
      <c r="J125" s="56">
        <f t="shared" si="101"/>
        <v>1218123.78</v>
      </c>
      <c r="K125" s="74">
        <f t="shared" si="83"/>
        <v>1207180.71</v>
      </c>
      <c r="L125" s="77">
        <f t="shared" si="124"/>
        <v>10943.070000000065</v>
      </c>
      <c r="M125" s="75">
        <f t="shared" si="89"/>
        <v>277.9460910794382</v>
      </c>
      <c r="N125" s="76">
        <f t="shared" si="125"/>
        <v>11221.016091079504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42</v>
      </c>
      <c r="S125" s="16">
        <f t="shared" si="119"/>
        <v>90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41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48.81508650410987</v>
      </c>
      <c r="AA125" s="63">
        <f>($L125+SUM($W125:Z125))*(S$11*S125)</f>
        <v>111.84619509938769</v>
      </c>
      <c r="AB125" s="63">
        <f>($L125+SUM($W125:AA125))*(T$11*T125)</f>
        <v>117.28480947594062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277.9460910794382</v>
      </c>
    </row>
    <row r="126" spans="1:31" ht="12.75">
      <c r="A126" s="3">
        <v>11</v>
      </c>
      <c r="B126" s="15">
        <f t="shared" si="100"/>
        <v>43040</v>
      </c>
      <c r="C126" s="243">
        <f t="shared" si="129"/>
        <v>43074</v>
      </c>
      <c r="D126" s="243">
        <f t="shared" si="129"/>
        <v>43089</v>
      </c>
      <c r="E126" s="30" t="s">
        <v>135</v>
      </c>
      <c r="F126" s="3">
        <v>9</v>
      </c>
      <c r="G126" s="359">
        <f>+'[2]Load WS'!$O$19</f>
        <v>504</v>
      </c>
      <c r="H126" s="246">
        <f t="shared" si="127"/>
        <v>1651.41</v>
      </c>
      <c r="I126" s="246">
        <f t="shared" si="99"/>
        <v>1666.38</v>
      </c>
      <c r="J126" s="56">
        <f t="shared" si="101"/>
        <v>839855.52</v>
      </c>
      <c r="K126" s="74">
        <f t="shared" si="83"/>
        <v>832310.64</v>
      </c>
      <c r="L126" s="77">
        <f t="shared" si="124"/>
        <v>7544.880000000005</v>
      </c>
      <c r="M126" s="75">
        <f t="shared" si="89"/>
        <v>167.0931222173383</v>
      </c>
      <c r="N126" s="76">
        <f t="shared" si="125"/>
        <v>7711.973122217343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12</v>
      </c>
      <c r="S126" s="16">
        <f t="shared" si="119"/>
        <v>90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41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9.616104591780827</v>
      </c>
      <c r="AA126" s="63">
        <f>($L126+SUM($W126:Z126))*(S$11*S126)</f>
        <v>76.86958502042161</v>
      </c>
      <c r="AB126" s="63">
        <f>($L126+SUM($W126:AA126))*(T$11*T126)</f>
        <v>80.60743260513586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167.0931222173383</v>
      </c>
    </row>
    <row r="127" spans="1:31" s="69" customFormat="1" ht="12.75">
      <c r="A127" s="3">
        <v>12</v>
      </c>
      <c r="B127" s="83">
        <f t="shared" si="100"/>
        <v>43070</v>
      </c>
      <c r="C127" s="243">
        <f t="shared" si="129"/>
        <v>43104</v>
      </c>
      <c r="D127" s="243">
        <f t="shared" si="129"/>
        <v>43119</v>
      </c>
      <c r="E127" s="84" t="s">
        <v>135</v>
      </c>
      <c r="F127" s="81">
        <v>9</v>
      </c>
      <c r="G127" s="360">
        <f>+'[2]Load WS'!$P$19</f>
        <v>900</v>
      </c>
      <c r="H127" s="247">
        <f t="shared" si="127"/>
        <v>1651.41</v>
      </c>
      <c r="I127" s="247">
        <f t="shared" si="99"/>
        <v>1666.38</v>
      </c>
      <c r="J127" s="85">
        <f t="shared" si="101"/>
        <v>1499742</v>
      </c>
      <c r="K127" s="86">
        <f t="shared" si="83"/>
        <v>1486269</v>
      </c>
      <c r="L127" s="87">
        <f t="shared" si="124"/>
        <v>13473</v>
      </c>
      <c r="M127" s="88">
        <f t="shared" si="89"/>
        <v>253.1429201138909</v>
      </c>
      <c r="N127" s="89">
        <f t="shared" si="125"/>
        <v>13726.14292011389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72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42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109.6739112328767</v>
      </c>
      <c r="AB127" s="90">
        <f>($L127+SUM($W127:AA127))*(T$11*T127)</f>
        <v>143.46900888101422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253.1429201138909</v>
      </c>
    </row>
    <row r="128" spans="1:31" ht="12.75">
      <c r="A128" s="16">
        <v>1</v>
      </c>
      <c r="B128" s="15">
        <f t="shared" si="100"/>
        <v>42736</v>
      </c>
      <c r="C128" s="243">
        <f t="shared" si="129"/>
        <v>42769</v>
      </c>
      <c r="D128" s="243">
        <f t="shared" si="129"/>
        <v>42786</v>
      </c>
      <c r="E128" s="118" t="s">
        <v>137</v>
      </c>
      <c r="F128" s="16">
        <v>9</v>
      </c>
      <c r="G128" s="359">
        <f>+'[2]Load WS'!$E$20</f>
        <v>5</v>
      </c>
      <c r="H128" s="246">
        <f aca="true" t="shared" si="130" ref="H128:H133">$K$3</f>
        <v>1623.7</v>
      </c>
      <c r="I128" s="246">
        <f aca="true" t="shared" si="131" ref="I128:I147">$J$3</f>
        <v>1666.38</v>
      </c>
      <c r="J128" s="56">
        <f t="shared" si="101"/>
        <v>8331.900000000001</v>
      </c>
      <c r="K128" s="57">
        <f t="shared" si="83"/>
        <v>8118.5</v>
      </c>
      <c r="L128" s="58">
        <f>+J128-K128</f>
        <v>213.40000000000146</v>
      </c>
      <c r="M128" s="55">
        <f t="shared" si="89"/>
        <v>11.391391805069496</v>
      </c>
      <c r="N128" s="29">
        <f>SUM(L128:M128)</f>
        <v>224.79139180507096</v>
      </c>
      <c r="O128" s="16">
        <f aca="true" t="shared" si="132" ref="O128:Q139">IF($D128&lt;O$8,O$12,IF($D128&lt;P$8,P$8-$D128,0))</f>
        <v>40</v>
      </c>
      <c r="P128" s="16">
        <f t="shared" si="132"/>
        <v>91</v>
      </c>
      <c r="Q128" s="16">
        <f t="shared" si="132"/>
        <v>92</v>
      </c>
      <c r="R128" s="16">
        <f t="shared" si="118"/>
        <v>92</v>
      </c>
      <c r="S128" s="16">
        <f t="shared" si="119"/>
        <v>90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41">
        <f>$L128*O$11*O128</f>
        <v>0.8185205479452111</v>
      </c>
      <c r="X128" s="63">
        <f>($L128+SUM($W128:W128))*(P$11*P128)</f>
        <v>1.8692766793019455</v>
      </c>
      <c r="Y128" s="63">
        <f>($L128+SUM($W128:X128))*(Q$11*Q128)</f>
        <v>1.9825611379578356</v>
      </c>
      <c r="Z128" s="63">
        <f>($L128+SUM($W128:Y128))*(R$11*R128)</f>
        <v>2.130836170195765</v>
      </c>
      <c r="AA128" s="63">
        <f>($L128+SUM($W128:Z128))*(S$11*S128)</f>
        <v>2.240622565765709</v>
      </c>
      <c r="AB128" s="63">
        <f>($L128+SUM($W128:AA128))*(T$11*T128)</f>
        <v>2.3495747039030306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3" ref="AE128:AE133">SUM(W128:AD128)</f>
        <v>11.391391805069496</v>
      </c>
    </row>
    <row r="129" spans="1:31" ht="12.75">
      <c r="A129" s="3">
        <v>2</v>
      </c>
      <c r="B129" s="15">
        <f t="shared" si="100"/>
        <v>42767</v>
      </c>
      <c r="C129" s="243">
        <f aca="true" t="shared" si="134" ref="C129:D139">+C117</f>
        <v>42797</v>
      </c>
      <c r="D129" s="243">
        <f t="shared" si="134"/>
        <v>42814</v>
      </c>
      <c r="E129" s="70" t="s">
        <v>137</v>
      </c>
      <c r="F129" s="3">
        <v>9</v>
      </c>
      <c r="G129" s="359">
        <f>+'[2]Load WS'!$F$20</f>
        <v>6</v>
      </c>
      <c r="H129" s="246">
        <f t="shared" si="130"/>
        <v>1623.7</v>
      </c>
      <c r="I129" s="246">
        <f t="shared" si="131"/>
        <v>1666.38</v>
      </c>
      <c r="J129" s="56">
        <f t="shared" si="101"/>
        <v>9998.28</v>
      </c>
      <c r="K129" s="57">
        <f t="shared" si="83"/>
        <v>9742.2</v>
      </c>
      <c r="L129" s="58">
        <f>+J129-K129</f>
        <v>256.0799999999999</v>
      </c>
      <c r="M129" s="55">
        <f t="shared" si="89"/>
        <v>12.948178144350871</v>
      </c>
      <c r="N129" s="29">
        <f>SUM(L129:M129)</f>
        <v>269.0281781443508</v>
      </c>
      <c r="O129" s="16">
        <f t="shared" si="132"/>
        <v>12</v>
      </c>
      <c r="P129" s="16">
        <f t="shared" si="132"/>
        <v>91</v>
      </c>
      <c r="Q129" s="16">
        <f t="shared" si="132"/>
        <v>92</v>
      </c>
      <c r="R129" s="16">
        <f t="shared" si="118"/>
        <v>92</v>
      </c>
      <c r="S129" s="16">
        <f t="shared" si="119"/>
        <v>90</v>
      </c>
      <c r="T129" s="16">
        <f t="shared" si="119"/>
        <v>91</v>
      </c>
      <c r="U129" s="16">
        <f t="shared" si="119"/>
        <v>0</v>
      </c>
      <c r="V129" s="106">
        <f aca="true" t="shared" si="135" ref="V129:V151">IF(W$8&lt;V$8,0,IF($D129&lt;V$8,V$12,IF($D129&lt;W$8,W$8-$D129,0)))</f>
        <v>0</v>
      </c>
      <c r="W129" s="141">
        <f aca="true" t="shared" si="136" ref="W129:W151">$L129*O$11*O129</f>
        <v>0.2946673972602739</v>
      </c>
      <c r="X129" s="63">
        <f>($L129+SUM($W129:W129))*(P$11*P129)</f>
        <v>2.237132371671983</v>
      </c>
      <c r="Y129" s="63">
        <f>($L129+SUM($W129:X129))*(Q$11*Q129)</f>
        <v>2.372710123469041</v>
      </c>
      <c r="Z129" s="63">
        <f>($L129+SUM($W129:Y129))*(R$11*R129)</f>
        <v>2.550164257575101</v>
      </c>
      <c r="AA129" s="63">
        <f>($L129+SUM($W129:Z129))*(S$11*S129)</f>
        <v>2.6815555610767454</v>
      </c>
      <c r="AB129" s="63">
        <f>($L129+SUM($W129:AA129))*(T$11*T129)</f>
        <v>2.811948433297727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3"/>
        <v>12.948178144350871</v>
      </c>
    </row>
    <row r="130" spans="1:31" ht="12.75">
      <c r="A130" s="3">
        <v>3</v>
      </c>
      <c r="B130" s="15">
        <f t="shared" si="100"/>
        <v>42795</v>
      </c>
      <c r="C130" s="243">
        <f t="shared" si="134"/>
        <v>42830</v>
      </c>
      <c r="D130" s="243">
        <f t="shared" si="134"/>
        <v>42845</v>
      </c>
      <c r="E130" s="70" t="s">
        <v>137</v>
      </c>
      <c r="F130" s="3">
        <v>9</v>
      </c>
      <c r="G130" s="359">
        <f>+'[2]Load WS'!$G$20</f>
        <v>6</v>
      </c>
      <c r="H130" s="246">
        <f t="shared" si="130"/>
        <v>1623.7</v>
      </c>
      <c r="I130" s="246">
        <f t="shared" si="131"/>
        <v>1666.38</v>
      </c>
      <c r="J130" s="56">
        <f t="shared" si="101"/>
        <v>9998.28</v>
      </c>
      <c r="K130" s="57">
        <f t="shared" si="83"/>
        <v>9742.2</v>
      </c>
      <c r="L130" s="58">
        <f>+J130-K130</f>
        <v>256.0799999999999</v>
      </c>
      <c r="M130" s="55">
        <f t="shared" si="89"/>
        <v>12.153618572108169</v>
      </c>
      <c r="N130" s="29">
        <f>SUM(L130:M130)</f>
        <v>268.23361857210807</v>
      </c>
      <c r="O130" s="16">
        <f t="shared" si="132"/>
        <v>0</v>
      </c>
      <c r="P130" s="16">
        <f t="shared" si="132"/>
        <v>72</v>
      </c>
      <c r="Q130" s="16">
        <f t="shared" si="132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6">
        <f>IF(W$8&lt;V$8,0,IF($D130&lt;V$8,V$12,IF($D130&lt;W$8,W$8-$D130,0)))</f>
        <v>0</v>
      </c>
      <c r="W130" s="141">
        <f>$L130*O$11*O130</f>
        <v>0</v>
      </c>
      <c r="X130" s="63">
        <f>($L130+SUM($W130:W130))*(P$11*P130)</f>
        <v>1.7680043835616435</v>
      </c>
      <c r="Y130" s="63">
        <f>($L130+SUM($W130:X130))*(Q$11*Q130)</f>
        <v>2.3657024577525223</v>
      </c>
      <c r="Z130" s="63">
        <f>($L130+SUM($W130:Y130))*(R$11*R130)</f>
        <v>2.5426324910678755</v>
      </c>
      <c r="AA130" s="63">
        <f>($L130+SUM($W130:Z130))*(S$11*S130)</f>
        <v>2.673635737754703</v>
      </c>
      <c r="AB130" s="63">
        <f>($L130+SUM($W130:AA130))*(T$11*T130)</f>
        <v>2.8036435019714228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3"/>
        <v>12.153618572108169</v>
      </c>
    </row>
    <row r="131" spans="1:31" ht="12.75">
      <c r="A131" s="16">
        <v>4</v>
      </c>
      <c r="B131" s="15">
        <f t="shared" si="100"/>
        <v>42826</v>
      </c>
      <c r="C131" s="243">
        <f t="shared" si="134"/>
        <v>42858</v>
      </c>
      <c r="D131" s="243">
        <f t="shared" si="134"/>
        <v>42873</v>
      </c>
      <c r="E131" s="70" t="s">
        <v>137</v>
      </c>
      <c r="F131" s="3">
        <v>9</v>
      </c>
      <c r="G131" s="359">
        <f>+'[2]Load WS'!$H$20</f>
        <v>4</v>
      </c>
      <c r="H131" s="246">
        <f t="shared" si="130"/>
        <v>1623.7</v>
      </c>
      <c r="I131" s="246">
        <f t="shared" si="131"/>
        <v>1666.38</v>
      </c>
      <c r="J131" s="56">
        <f t="shared" si="101"/>
        <v>6665.52</v>
      </c>
      <c r="K131" s="57">
        <f t="shared" si="83"/>
        <v>6494.8</v>
      </c>
      <c r="L131" s="58">
        <f aca="true" t="shared" si="137" ref="L131:L141">+J131-K131</f>
        <v>170.72000000000025</v>
      </c>
      <c r="M131" s="55">
        <f t="shared" si="89"/>
        <v>7.625578565194702</v>
      </c>
      <c r="N131" s="29">
        <f aca="true" t="shared" si="138" ref="N131:N141">SUM(L131:M131)</f>
        <v>178.34557856519496</v>
      </c>
      <c r="O131" s="16">
        <f t="shared" si="132"/>
        <v>0</v>
      </c>
      <c r="P131" s="16">
        <f t="shared" si="132"/>
        <v>44</v>
      </c>
      <c r="Q131" s="16">
        <f t="shared" si="132"/>
        <v>92</v>
      </c>
      <c r="R131" s="16">
        <f t="shared" si="118"/>
        <v>92</v>
      </c>
      <c r="S131" s="16">
        <f t="shared" si="119"/>
        <v>90</v>
      </c>
      <c r="T131" s="16">
        <f t="shared" si="119"/>
        <v>91</v>
      </c>
      <c r="U131" s="16">
        <f t="shared" si="119"/>
        <v>0</v>
      </c>
      <c r="V131" s="106">
        <f t="shared" si="135"/>
        <v>0</v>
      </c>
      <c r="W131" s="141">
        <f t="shared" si="136"/>
        <v>0</v>
      </c>
      <c r="X131" s="63">
        <f>($L131+SUM($W131:W131))*(P$11*P131)</f>
        <v>0.720298082191782</v>
      </c>
      <c r="Y131" s="63">
        <f>($L131+SUM($W131:X131))*(Q$11*Q131)</f>
        <v>1.5729295074456016</v>
      </c>
      <c r="Z131" s="63">
        <f>($L131+SUM($W131:Y131))*(R$11*R131)</f>
        <v>1.6905683378247367</v>
      </c>
      <c r="AA131" s="63">
        <f>($L131+SUM($W131:Z131))*(S$11*S131)</f>
        <v>1.777670953629028</v>
      </c>
      <c r="AB131" s="63">
        <f>($L131+SUM($W131:AA131))*(T$11*T131)</f>
        <v>1.8641116841035537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3"/>
        <v>7.625578565194702</v>
      </c>
    </row>
    <row r="132" spans="1:31" ht="12.75">
      <c r="A132" s="3">
        <v>5</v>
      </c>
      <c r="B132" s="15">
        <f t="shared" si="100"/>
        <v>42856</v>
      </c>
      <c r="C132" s="243">
        <f t="shared" si="134"/>
        <v>42891</v>
      </c>
      <c r="D132" s="243">
        <f t="shared" si="134"/>
        <v>42906</v>
      </c>
      <c r="E132" s="30" t="s">
        <v>137</v>
      </c>
      <c r="F132" s="3">
        <v>9</v>
      </c>
      <c r="G132" s="359">
        <f>+'[2]Load WS'!$I$20</f>
        <v>9</v>
      </c>
      <c r="H132" s="246">
        <f t="shared" si="130"/>
        <v>1623.7</v>
      </c>
      <c r="I132" s="246">
        <f t="shared" si="131"/>
        <v>1666.38</v>
      </c>
      <c r="J132" s="56">
        <f t="shared" si="101"/>
        <v>14997.420000000002</v>
      </c>
      <c r="K132" s="57">
        <f t="shared" si="83"/>
        <v>14613.300000000001</v>
      </c>
      <c r="L132" s="58">
        <f t="shared" si="137"/>
        <v>384.1200000000008</v>
      </c>
      <c r="M132" s="55">
        <f t="shared" si="89"/>
        <v>15.893090669772063</v>
      </c>
      <c r="N132" s="29">
        <f t="shared" si="138"/>
        <v>400.01309066977285</v>
      </c>
      <c r="O132" s="16">
        <f t="shared" si="132"/>
        <v>0</v>
      </c>
      <c r="P132" s="16">
        <f t="shared" si="132"/>
        <v>11</v>
      </c>
      <c r="Q132" s="16">
        <f t="shared" si="132"/>
        <v>92</v>
      </c>
      <c r="R132" s="16">
        <f t="shared" si="118"/>
        <v>92</v>
      </c>
      <c r="S132" s="16">
        <f t="shared" si="119"/>
        <v>90</v>
      </c>
      <c r="T132" s="16">
        <f t="shared" si="119"/>
        <v>91</v>
      </c>
      <c r="U132" s="16">
        <f t="shared" si="119"/>
        <v>0</v>
      </c>
      <c r="V132" s="106">
        <f t="shared" si="135"/>
        <v>0</v>
      </c>
      <c r="W132" s="141">
        <f t="shared" si="136"/>
        <v>0</v>
      </c>
      <c r="X132" s="63">
        <f>($L132+SUM($W132:W132))*(P$11*P132)</f>
        <v>0.4051676712328776</v>
      </c>
      <c r="Y132" s="63">
        <f>($L132+SUM($W132:X132))*(Q$11*Q132)</f>
        <v>3.527939401362814</v>
      </c>
      <c r="Z132" s="63">
        <f>($L132+SUM($W132:Y132))*(R$11*R132)</f>
        <v>3.791792716378039</v>
      </c>
      <c r="AA132" s="63">
        <f>($L132+SUM($W132:Z132))*(S$11*S132)</f>
        <v>3.9871560488116478</v>
      </c>
      <c r="AB132" s="63">
        <f>($L132+SUM($W132:AA132))*(T$11*T132)</f>
        <v>4.181034831986684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3"/>
        <v>15.893090669772063</v>
      </c>
    </row>
    <row r="133" spans="1:31" ht="12.75">
      <c r="A133" s="3">
        <v>6</v>
      </c>
      <c r="B133" s="15">
        <f t="shared" si="100"/>
        <v>42887</v>
      </c>
      <c r="C133" s="243">
        <f t="shared" si="134"/>
        <v>42922</v>
      </c>
      <c r="D133" s="243">
        <f t="shared" si="134"/>
        <v>42937</v>
      </c>
      <c r="E133" s="30" t="s">
        <v>137</v>
      </c>
      <c r="F133" s="3">
        <v>9</v>
      </c>
      <c r="G133" s="359">
        <f>+'[2]Load WS'!$J$20</f>
        <v>11</v>
      </c>
      <c r="H133" s="246">
        <f t="shared" si="130"/>
        <v>1623.7</v>
      </c>
      <c r="I133" s="246">
        <f t="shared" si="131"/>
        <v>1666.38</v>
      </c>
      <c r="J133" s="56">
        <f t="shared" si="101"/>
        <v>18330.18</v>
      </c>
      <c r="K133" s="57">
        <f t="shared" si="83"/>
        <v>17860.7</v>
      </c>
      <c r="L133" s="77">
        <f t="shared" si="137"/>
        <v>469.47999999999956</v>
      </c>
      <c r="M133" s="78">
        <f t="shared" si="89"/>
        <v>17.94449035643293</v>
      </c>
      <c r="N133" s="76">
        <f t="shared" si="138"/>
        <v>487.4244903564325</v>
      </c>
      <c r="O133" s="16">
        <f t="shared" si="132"/>
        <v>0</v>
      </c>
      <c r="P133" s="16">
        <f t="shared" si="132"/>
        <v>0</v>
      </c>
      <c r="Q133" s="16">
        <f t="shared" si="132"/>
        <v>72</v>
      </c>
      <c r="R133" s="16">
        <f t="shared" si="118"/>
        <v>92</v>
      </c>
      <c r="S133" s="16">
        <f t="shared" si="119"/>
        <v>90</v>
      </c>
      <c r="T133" s="16">
        <f t="shared" si="119"/>
        <v>91</v>
      </c>
      <c r="U133" s="16">
        <f t="shared" si="119"/>
        <v>0</v>
      </c>
      <c r="V133" s="106">
        <f t="shared" si="135"/>
        <v>0</v>
      </c>
      <c r="W133" s="141">
        <f t="shared" si="136"/>
        <v>0</v>
      </c>
      <c r="X133" s="63">
        <f>($L133+SUM($W133:W133))*(P$11*P133)</f>
        <v>0</v>
      </c>
      <c r="Y133" s="63">
        <f>($L133+SUM($W133:X133))*(Q$11*Q133)</f>
        <v>3.370995024657531</v>
      </c>
      <c r="Z133" s="63">
        <f>($L133+SUM($W133:Y133))*(R$11*R133)</f>
        <v>4.620380371110338</v>
      </c>
      <c r="AA133" s="63">
        <f>($L133+SUM($W133:Z133))*(S$11*S133)</f>
        <v>4.858434762246247</v>
      </c>
      <c r="AB133" s="63">
        <f>($L133+SUM($W133:AA133))*(T$11*T133)</f>
        <v>5.094680198418815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3"/>
        <v>17.94449035643293</v>
      </c>
    </row>
    <row r="134" spans="1:31" ht="12.75">
      <c r="A134" s="16">
        <v>7</v>
      </c>
      <c r="B134" s="15">
        <f t="shared" si="100"/>
        <v>42917</v>
      </c>
      <c r="C134" s="243">
        <f t="shared" si="134"/>
        <v>42950</v>
      </c>
      <c r="D134" s="243">
        <f t="shared" si="134"/>
        <v>42965</v>
      </c>
      <c r="E134" s="30" t="s">
        <v>137</v>
      </c>
      <c r="F134" s="3">
        <v>9</v>
      </c>
      <c r="G134" s="359">
        <f>+'[2]Load WS'!$K$20</f>
        <v>16</v>
      </c>
      <c r="H134" s="246">
        <f aca="true" t="shared" si="139" ref="H134:H139">$K$8</f>
        <v>1651.41</v>
      </c>
      <c r="I134" s="246">
        <f t="shared" si="131"/>
        <v>1666.38</v>
      </c>
      <c r="J134" s="56">
        <f t="shared" si="101"/>
        <v>26662.08</v>
      </c>
      <c r="K134" s="74">
        <f aca="true" t="shared" si="140" ref="K134:K197">+$G134*H134</f>
        <v>26422.56</v>
      </c>
      <c r="L134" s="77">
        <f t="shared" si="137"/>
        <v>239.52000000000044</v>
      </c>
      <c r="M134" s="75">
        <f t="shared" si="89"/>
        <v>8.465514703712836</v>
      </c>
      <c r="N134" s="76">
        <f t="shared" si="138"/>
        <v>247.98551470371328</v>
      </c>
      <c r="O134" s="16">
        <f t="shared" si="132"/>
        <v>0</v>
      </c>
      <c r="P134" s="16">
        <f t="shared" si="132"/>
        <v>0</v>
      </c>
      <c r="Q134" s="16">
        <f t="shared" si="132"/>
        <v>44</v>
      </c>
      <c r="R134" s="16">
        <f t="shared" si="118"/>
        <v>92</v>
      </c>
      <c r="S134" s="16">
        <f t="shared" si="119"/>
        <v>90</v>
      </c>
      <c r="T134" s="16">
        <f t="shared" si="119"/>
        <v>91</v>
      </c>
      <c r="U134" s="16">
        <f t="shared" si="119"/>
        <v>0</v>
      </c>
      <c r="V134" s="106">
        <f t="shared" si="135"/>
        <v>0</v>
      </c>
      <c r="W134" s="141">
        <f t="shared" si="136"/>
        <v>0</v>
      </c>
      <c r="X134" s="63">
        <f>($L134+SUM($W134:W134))*(P$11*P134)</f>
        <v>0</v>
      </c>
      <c r="Y134" s="63">
        <f>($L134+SUM($W134:X134))*(Q$11*Q134)</f>
        <v>1.05100063561644</v>
      </c>
      <c r="Z134" s="63">
        <f>($L134+SUM($W134:Y134))*(R$11*R134)</f>
        <v>2.3506972405487176</v>
      </c>
      <c r="AA134" s="63">
        <f>($L134+SUM($W134:Z134))*(S$11*S134)</f>
        <v>2.471811468252271</v>
      </c>
      <c r="AB134" s="63">
        <f>($L134+SUM($W134:AA134))*(T$11*T134)</f>
        <v>2.5920053592954075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41" ref="AE134:AE139">SUM(W134:AD134)</f>
        <v>8.465514703712836</v>
      </c>
    </row>
    <row r="135" spans="1:31" ht="12.75">
      <c r="A135" s="3">
        <v>8</v>
      </c>
      <c r="B135" s="15">
        <f t="shared" si="100"/>
        <v>42948</v>
      </c>
      <c r="C135" s="243">
        <f t="shared" si="134"/>
        <v>42984</v>
      </c>
      <c r="D135" s="243">
        <f t="shared" si="134"/>
        <v>42999</v>
      </c>
      <c r="E135" s="30" t="s">
        <v>137</v>
      </c>
      <c r="F135" s="3">
        <v>9</v>
      </c>
      <c r="G135" s="359">
        <f>+'[2]Load WS'!$L$20</f>
        <v>9</v>
      </c>
      <c r="H135" s="246">
        <f t="shared" si="139"/>
        <v>1651.41</v>
      </c>
      <c r="I135" s="246">
        <f t="shared" si="131"/>
        <v>1666.38</v>
      </c>
      <c r="J135" s="56">
        <f t="shared" si="101"/>
        <v>14997.420000000002</v>
      </c>
      <c r="K135" s="74">
        <f t="shared" si="140"/>
        <v>14862.69</v>
      </c>
      <c r="L135" s="77">
        <f t="shared" si="137"/>
        <v>134.73000000000138</v>
      </c>
      <c r="M135" s="75">
        <f t="shared" si="89"/>
        <v>4.290945412517676</v>
      </c>
      <c r="N135" s="76">
        <f t="shared" si="138"/>
        <v>139.02094541251907</v>
      </c>
      <c r="O135" s="16">
        <f t="shared" si="132"/>
        <v>0</v>
      </c>
      <c r="P135" s="16">
        <f t="shared" si="132"/>
        <v>0</v>
      </c>
      <c r="Q135" s="16">
        <f t="shared" si="132"/>
        <v>10</v>
      </c>
      <c r="R135" s="16">
        <f t="shared" si="118"/>
        <v>92</v>
      </c>
      <c r="S135" s="16">
        <f t="shared" si="119"/>
        <v>90</v>
      </c>
      <c r="T135" s="16">
        <f t="shared" si="119"/>
        <v>91</v>
      </c>
      <c r="U135" s="16">
        <f t="shared" si="119"/>
        <v>0</v>
      </c>
      <c r="V135" s="106">
        <f t="shared" si="135"/>
        <v>0</v>
      </c>
      <c r="W135" s="141">
        <f t="shared" si="136"/>
        <v>0</v>
      </c>
      <c r="X135" s="63">
        <f>($L135+SUM($W135:W135))*(P$11*P135)</f>
        <v>0</v>
      </c>
      <c r="Y135" s="63">
        <f>($L135+SUM($W135:X135))*(Q$11*Q135)</f>
        <v>0.13436087671233013</v>
      </c>
      <c r="Z135" s="63">
        <f>($L135+SUM($W135:Y135))*(R$11*R135)</f>
        <v>1.3178033932753295</v>
      </c>
      <c r="AA135" s="63">
        <f>($L135+SUM($W135:Z135))*(S$11*S135)</f>
        <v>1.385700159174628</v>
      </c>
      <c r="AB135" s="63">
        <f>($L135+SUM($W135:AA135))*(T$11*T135)</f>
        <v>1.4530809833553882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41"/>
        <v>4.290945412517676</v>
      </c>
    </row>
    <row r="136" spans="1:31" ht="12.75">
      <c r="A136" s="3">
        <v>9</v>
      </c>
      <c r="B136" s="15">
        <f t="shared" si="100"/>
        <v>42979</v>
      </c>
      <c r="C136" s="243">
        <f t="shared" si="134"/>
        <v>43012</v>
      </c>
      <c r="D136" s="243">
        <f t="shared" si="134"/>
        <v>43027</v>
      </c>
      <c r="E136" s="30" t="s">
        <v>137</v>
      </c>
      <c r="F136" s="3">
        <v>9</v>
      </c>
      <c r="G136" s="359">
        <f>+'[2]Load WS'!$M$20</f>
        <v>6</v>
      </c>
      <c r="H136" s="246">
        <f t="shared" si="139"/>
        <v>1651.41</v>
      </c>
      <c r="I136" s="246">
        <f t="shared" si="131"/>
        <v>1666.38</v>
      </c>
      <c r="J136" s="56">
        <f t="shared" si="101"/>
        <v>9998.28</v>
      </c>
      <c r="K136" s="74">
        <f t="shared" si="140"/>
        <v>9908.460000000001</v>
      </c>
      <c r="L136" s="77">
        <f t="shared" si="137"/>
        <v>89.81999999999971</v>
      </c>
      <c r="M136" s="75">
        <f t="shared" si="89"/>
        <v>2.5929999886773074</v>
      </c>
      <c r="N136" s="76">
        <f t="shared" si="138"/>
        <v>92.41299998867702</v>
      </c>
      <c r="O136" s="16">
        <f t="shared" si="132"/>
        <v>0</v>
      </c>
      <c r="P136" s="16">
        <f t="shared" si="132"/>
        <v>0</v>
      </c>
      <c r="Q136" s="16">
        <f t="shared" si="132"/>
        <v>0</v>
      </c>
      <c r="R136" s="16">
        <f t="shared" si="118"/>
        <v>74</v>
      </c>
      <c r="S136" s="16">
        <f t="shared" si="119"/>
        <v>90</v>
      </c>
      <c r="T136" s="16">
        <f t="shared" si="119"/>
        <v>91</v>
      </c>
      <c r="U136" s="16">
        <f t="shared" si="119"/>
        <v>0</v>
      </c>
      <c r="V136" s="106">
        <f t="shared" si="135"/>
        <v>0</v>
      </c>
      <c r="W136" s="141">
        <f t="shared" si="13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0.7059441863013675</v>
      </c>
      <c r="AA136" s="63">
        <f>($L136+SUM($W136:Z136))*(S$11*S136)</f>
        <v>0.9211324841312937</v>
      </c>
      <c r="AB136" s="63">
        <f>($L136+SUM($W136:AA136))*(T$11*T136)</f>
        <v>0.9659233182446464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41"/>
        <v>2.5929999886773074</v>
      </c>
    </row>
    <row r="137" spans="1:31" ht="12.75">
      <c r="A137" s="16">
        <v>10</v>
      </c>
      <c r="B137" s="15">
        <f t="shared" si="100"/>
        <v>43009</v>
      </c>
      <c r="C137" s="243">
        <f t="shared" si="134"/>
        <v>43042</v>
      </c>
      <c r="D137" s="243">
        <f t="shared" si="134"/>
        <v>43059</v>
      </c>
      <c r="E137" s="30" t="s">
        <v>137</v>
      </c>
      <c r="F137" s="3">
        <v>9</v>
      </c>
      <c r="G137" s="359">
        <f>+'[2]Load WS'!$N$20</f>
        <v>3</v>
      </c>
      <c r="H137" s="246">
        <f t="shared" si="139"/>
        <v>1651.41</v>
      </c>
      <c r="I137" s="246">
        <f t="shared" si="131"/>
        <v>1666.38</v>
      </c>
      <c r="J137" s="56">
        <f t="shared" si="101"/>
        <v>4999.14</v>
      </c>
      <c r="K137" s="74">
        <f t="shared" si="140"/>
        <v>4954.2300000000005</v>
      </c>
      <c r="L137" s="77">
        <f t="shared" si="137"/>
        <v>44.909999999999854</v>
      </c>
      <c r="M137" s="75">
        <f t="shared" si="89"/>
        <v>1.140681632336945</v>
      </c>
      <c r="N137" s="76">
        <f t="shared" si="138"/>
        <v>46.0506816323368</v>
      </c>
      <c r="O137" s="16">
        <f t="shared" si="132"/>
        <v>0</v>
      </c>
      <c r="P137" s="16">
        <f t="shared" si="132"/>
        <v>0</v>
      </c>
      <c r="Q137" s="16">
        <f t="shared" si="132"/>
        <v>0</v>
      </c>
      <c r="R137" s="16">
        <f t="shared" si="118"/>
        <v>42</v>
      </c>
      <c r="S137" s="16">
        <f t="shared" si="119"/>
        <v>90</v>
      </c>
      <c r="T137" s="16">
        <f t="shared" si="119"/>
        <v>91</v>
      </c>
      <c r="U137" s="16">
        <f t="shared" si="119"/>
        <v>0</v>
      </c>
      <c r="V137" s="106">
        <f t="shared" si="135"/>
        <v>0</v>
      </c>
      <c r="W137" s="141">
        <f t="shared" si="13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0.20033551232876645</v>
      </c>
      <c r="AA137" s="63">
        <f>($L137+SUM($W137:Z137))*(S$11*S137)</f>
        <v>0.4590131125829821</v>
      </c>
      <c r="AB137" s="63">
        <f>($L137+SUM($W137:AA137))*(T$11*T137)</f>
        <v>0.48133300742519647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41"/>
        <v>1.140681632336945</v>
      </c>
    </row>
    <row r="138" spans="1:31" ht="12.75">
      <c r="A138" s="3">
        <v>11</v>
      </c>
      <c r="B138" s="15">
        <f t="shared" si="100"/>
        <v>43040</v>
      </c>
      <c r="C138" s="243">
        <f t="shared" si="134"/>
        <v>43074</v>
      </c>
      <c r="D138" s="243">
        <f t="shared" si="134"/>
        <v>43089</v>
      </c>
      <c r="E138" s="30" t="s">
        <v>137</v>
      </c>
      <c r="F138" s="3">
        <v>9</v>
      </c>
      <c r="G138" s="359">
        <f>+'[2]Load WS'!$O$20</f>
        <v>6</v>
      </c>
      <c r="H138" s="246">
        <f t="shared" si="139"/>
        <v>1651.41</v>
      </c>
      <c r="I138" s="246">
        <f t="shared" si="131"/>
        <v>1666.38</v>
      </c>
      <c r="J138" s="56">
        <f t="shared" si="101"/>
        <v>9998.28</v>
      </c>
      <c r="K138" s="74">
        <f t="shared" si="140"/>
        <v>9908.460000000001</v>
      </c>
      <c r="L138" s="77">
        <f t="shared" si="137"/>
        <v>89.81999999999971</v>
      </c>
      <c r="M138" s="75">
        <f aca="true" t="shared" si="142" ref="M138:M199">+AE138</f>
        <v>1.9892038359206863</v>
      </c>
      <c r="N138" s="76">
        <f t="shared" si="138"/>
        <v>91.8092038359204</v>
      </c>
      <c r="O138" s="16">
        <f t="shared" si="132"/>
        <v>0</v>
      </c>
      <c r="P138" s="16">
        <f t="shared" si="132"/>
        <v>0</v>
      </c>
      <c r="Q138" s="16">
        <f t="shared" si="132"/>
        <v>0</v>
      </c>
      <c r="R138" s="16">
        <f aca="true" t="shared" si="143" ref="R138:U139">IF($D138&lt;R$8,R$12,IF($D138&lt;S$8,S$8-$D138,0))</f>
        <v>12</v>
      </c>
      <c r="S138" s="16">
        <f t="shared" si="143"/>
        <v>90</v>
      </c>
      <c r="T138" s="16">
        <f t="shared" si="143"/>
        <v>91</v>
      </c>
      <c r="U138" s="16">
        <f t="shared" si="143"/>
        <v>0</v>
      </c>
      <c r="V138" s="106">
        <f t="shared" si="135"/>
        <v>0</v>
      </c>
      <c r="W138" s="141">
        <f t="shared" si="13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0.11447743561643797</v>
      </c>
      <c r="AA138" s="63">
        <f>($L138+SUM($W138:Z138))*(S$11*S138)</f>
        <v>0.9151141073859681</v>
      </c>
      <c r="AB138" s="63">
        <f>($L138+SUM($W138:AA138))*(T$11*T138)</f>
        <v>0.9596122929182802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41"/>
        <v>1.9892038359206863</v>
      </c>
    </row>
    <row r="139" spans="1:31" s="69" customFormat="1" ht="12.75">
      <c r="A139" s="3">
        <v>12</v>
      </c>
      <c r="B139" s="83">
        <f t="shared" si="100"/>
        <v>43070</v>
      </c>
      <c r="C139" s="243">
        <f t="shared" si="134"/>
        <v>43104</v>
      </c>
      <c r="D139" s="243">
        <f t="shared" si="134"/>
        <v>43119</v>
      </c>
      <c r="E139" s="84" t="s">
        <v>137</v>
      </c>
      <c r="F139" s="81">
        <v>9</v>
      </c>
      <c r="G139" s="360">
        <f>+'[2]Load WS'!$P$20</f>
        <v>8</v>
      </c>
      <c r="H139" s="247">
        <f t="shared" si="139"/>
        <v>1651.41</v>
      </c>
      <c r="I139" s="247">
        <f t="shared" si="131"/>
        <v>1666.38</v>
      </c>
      <c r="J139" s="85">
        <f t="shared" si="101"/>
        <v>13331.04</v>
      </c>
      <c r="K139" s="86">
        <f t="shared" si="140"/>
        <v>13211.28</v>
      </c>
      <c r="L139" s="87">
        <f t="shared" si="137"/>
        <v>119.76000000000022</v>
      </c>
      <c r="M139" s="88">
        <f t="shared" si="142"/>
        <v>2.250159289901257</v>
      </c>
      <c r="N139" s="89">
        <f t="shared" si="138"/>
        <v>122.01015928990148</v>
      </c>
      <c r="O139" s="81">
        <f t="shared" si="132"/>
        <v>0</v>
      </c>
      <c r="P139" s="81">
        <f t="shared" si="132"/>
        <v>0</v>
      </c>
      <c r="Q139" s="81">
        <f t="shared" si="132"/>
        <v>0</v>
      </c>
      <c r="R139" s="81">
        <f t="shared" si="143"/>
        <v>0</v>
      </c>
      <c r="S139" s="81">
        <f t="shared" si="143"/>
        <v>72</v>
      </c>
      <c r="T139" s="81">
        <f t="shared" si="143"/>
        <v>91</v>
      </c>
      <c r="U139" s="81">
        <f t="shared" si="143"/>
        <v>0</v>
      </c>
      <c r="V139" s="107">
        <f t="shared" si="135"/>
        <v>0</v>
      </c>
      <c r="W139" s="142">
        <f t="shared" si="136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0.9748792109589058</v>
      </c>
      <c r="AB139" s="90">
        <f>($L139+SUM($W139:AA139))*(T$11*T139)</f>
        <v>1.275280078942351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41"/>
        <v>2.250159289901257</v>
      </c>
    </row>
    <row r="140" spans="1:31" ht="12.75">
      <c r="A140" s="16">
        <v>1</v>
      </c>
      <c r="B140" s="15">
        <f t="shared" si="100"/>
        <v>42736</v>
      </c>
      <c r="C140" s="242">
        <f aca="true" t="shared" si="144" ref="C140:D151">+C128</f>
        <v>42769</v>
      </c>
      <c r="D140" s="242">
        <f t="shared" si="144"/>
        <v>42786</v>
      </c>
      <c r="E140" s="117" t="s">
        <v>138</v>
      </c>
      <c r="F140" s="3">
        <v>9</v>
      </c>
      <c r="G140" s="359">
        <f>+'[2]Load WS'!$E$21</f>
        <v>2</v>
      </c>
      <c r="H140" s="246">
        <f aca="true" t="shared" si="145" ref="H140:H145">$K$3</f>
        <v>1623.7</v>
      </c>
      <c r="I140" s="246">
        <f t="shared" si="131"/>
        <v>1666.38</v>
      </c>
      <c r="J140" s="56">
        <f t="shared" si="101"/>
        <v>3332.76</v>
      </c>
      <c r="K140" s="57">
        <f t="shared" si="140"/>
        <v>3247.4</v>
      </c>
      <c r="L140" s="58">
        <f t="shared" si="137"/>
        <v>85.36000000000013</v>
      </c>
      <c r="M140" s="55">
        <f t="shared" si="142"/>
        <v>4.556556722027775</v>
      </c>
      <c r="N140" s="29">
        <f t="shared" si="138"/>
        <v>89.9165567220279</v>
      </c>
      <c r="O140" s="16">
        <f aca="true" t="shared" si="146" ref="O140:O154">IF($D140&lt;O$8,O$12,IF($D140&lt;P$8,P$8-$D140,0))</f>
        <v>40</v>
      </c>
      <c r="P140" s="16">
        <f aca="true" t="shared" si="147" ref="P140:P154">IF($D140&lt;P$8,P$12,IF($D140&lt;Q$8,Q$8-$D140,0))</f>
        <v>91</v>
      </c>
      <c r="Q140" s="16">
        <f aca="true" t="shared" si="148" ref="Q140:Q154">IF($D140&lt;Q$8,Q$12,IF($D140&lt;R$8,R$8-$D140,0))</f>
        <v>92</v>
      </c>
      <c r="R140" s="16">
        <f aca="true" t="shared" si="149" ref="R140:R154">IF($D140&lt;R$8,R$12,IF($D140&lt;S$8,S$8-$D140,0))</f>
        <v>92</v>
      </c>
      <c r="S140" s="16">
        <f aca="true" t="shared" si="150" ref="S140:U141">IF($D140&lt;S$8,S$12,IF($D140&lt;T$8,T$8-$D140,0))</f>
        <v>90</v>
      </c>
      <c r="T140" s="16">
        <f t="shared" si="150"/>
        <v>91</v>
      </c>
      <c r="U140" s="16">
        <f t="shared" si="150"/>
        <v>0</v>
      </c>
      <c r="V140" s="106">
        <f t="shared" si="135"/>
        <v>0</v>
      </c>
      <c r="W140" s="141">
        <f t="shared" si="136"/>
        <v>0.3274082191780827</v>
      </c>
      <c r="X140" s="63">
        <f>($L140+SUM($W140:W140))*(P$11*P140)</f>
        <v>0.7477106717207742</v>
      </c>
      <c r="Y140" s="63">
        <f>($L140+SUM($W140:X140))*(Q$11*Q140)</f>
        <v>0.7930244551831301</v>
      </c>
      <c r="Z140" s="63">
        <f>($L140+SUM($W140:Y140))*(R$11*R140)</f>
        <v>0.8523344680783015</v>
      </c>
      <c r="AA140" s="63">
        <f>($L140+SUM($W140:Z140))*(S$11*S140)</f>
        <v>0.8962490263062788</v>
      </c>
      <c r="AB140" s="63">
        <f>($L140+SUM($W140:AA140))*(T$11*T140)</f>
        <v>0.9398298815612072</v>
      </c>
      <c r="AC140" s="63">
        <f>($L140+SUM($W140:AB140))*(U$11*U140)</f>
        <v>0</v>
      </c>
      <c r="AD140" s="63">
        <f>($L140+SUM($W140:AC140))*(V$11*V140)</f>
        <v>0</v>
      </c>
      <c r="AE140" s="110">
        <f>SUM(W140:AD140)</f>
        <v>4.556556722027775</v>
      </c>
    </row>
    <row r="141" spans="1:31" ht="12.75">
      <c r="A141" s="3">
        <v>2</v>
      </c>
      <c r="B141" s="15">
        <f t="shared" si="100"/>
        <v>42767</v>
      </c>
      <c r="C141" s="243">
        <f t="shared" si="144"/>
        <v>42797</v>
      </c>
      <c r="D141" s="243">
        <f t="shared" si="144"/>
        <v>42814</v>
      </c>
      <c r="E141" s="30" t="s">
        <v>138</v>
      </c>
      <c r="F141" s="3">
        <v>9</v>
      </c>
      <c r="G141" s="359">
        <f>+'[2]Load WS'!$F$21</f>
        <v>1</v>
      </c>
      <c r="H141" s="246">
        <f t="shared" si="145"/>
        <v>1623.7</v>
      </c>
      <c r="I141" s="246">
        <f t="shared" si="131"/>
        <v>1666.38</v>
      </c>
      <c r="J141" s="56">
        <f t="shared" si="101"/>
        <v>1666.38</v>
      </c>
      <c r="K141" s="57">
        <f t="shared" si="140"/>
        <v>1623.7</v>
      </c>
      <c r="L141" s="58">
        <f t="shared" si="137"/>
        <v>42.680000000000064</v>
      </c>
      <c r="M141" s="55">
        <f t="shared" si="142"/>
        <v>2.158029690725149</v>
      </c>
      <c r="N141" s="29">
        <f t="shared" si="138"/>
        <v>44.838029690725214</v>
      </c>
      <c r="O141" s="16">
        <f t="shared" si="146"/>
        <v>12</v>
      </c>
      <c r="P141" s="16">
        <f t="shared" si="147"/>
        <v>91</v>
      </c>
      <c r="Q141" s="16">
        <f t="shared" si="148"/>
        <v>92</v>
      </c>
      <c r="R141" s="16">
        <f t="shared" si="149"/>
        <v>92</v>
      </c>
      <c r="S141" s="16">
        <f t="shared" si="150"/>
        <v>90</v>
      </c>
      <c r="T141" s="16">
        <f t="shared" si="150"/>
        <v>91</v>
      </c>
      <c r="U141" s="16">
        <f t="shared" si="150"/>
        <v>0</v>
      </c>
      <c r="V141" s="106">
        <f t="shared" si="135"/>
        <v>0</v>
      </c>
      <c r="W141" s="141">
        <f t="shared" si="136"/>
        <v>0.0491112328767124</v>
      </c>
      <c r="X141" s="63">
        <f>($L141+SUM($W141:W141))*(P$11*P141)</f>
        <v>0.37285539527866446</v>
      </c>
      <c r="Y141" s="63">
        <f>($L141+SUM($W141:X141))*(Q$11*Q141)</f>
        <v>0.3954516872448408</v>
      </c>
      <c r="Z141" s="63">
        <f>($L141+SUM($W141:Y141))*(R$11*R141)</f>
        <v>0.42502737626251763</v>
      </c>
      <c r="AA141" s="63">
        <f>($L141+SUM($W141:Z141))*(S$11*S141)</f>
        <v>0.44692592684612503</v>
      </c>
      <c r="AB141" s="63">
        <f>($L141+SUM($W141:AA141))*(T$11*T141)</f>
        <v>0.46865807221628863</v>
      </c>
      <c r="AC141" s="63">
        <f>($L141+SUM($W141:AB141))*(U$11*U141)</f>
        <v>0</v>
      </c>
      <c r="AD141" s="63">
        <f>($L141+SUM($W141:AC141))*(V$11*V141)</f>
        <v>0</v>
      </c>
      <c r="AE141" s="110">
        <f>SUM(W141:AD141)</f>
        <v>2.158029690725149</v>
      </c>
    </row>
    <row r="142" spans="1:31" ht="12.75">
      <c r="A142" s="3">
        <v>3</v>
      </c>
      <c r="B142" s="15">
        <f t="shared" si="100"/>
        <v>42795</v>
      </c>
      <c r="C142" s="243">
        <f t="shared" si="144"/>
        <v>42830</v>
      </c>
      <c r="D142" s="243">
        <f t="shared" si="144"/>
        <v>42845</v>
      </c>
      <c r="E142" s="30" t="s">
        <v>138</v>
      </c>
      <c r="F142" s="3">
        <v>9</v>
      </c>
      <c r="G142" s="359">
        <f>+'[2]Load WS'!$G$21</f>
        <v>1</v>
      </c>
      <c r="H142" s="246">
        <f t="shared" si="145"/>
        <v>1623.7</v>
      </c>
      <c r="I142" s="246">
        <f t="shared" si="131"/>
        <v>1666.38</v>
      </c>
      <c r="J142" s="56">
        <f t="shared" si="101"/>
        <v>1666.38</v>
      </c>
      <c r="K142" s="57">
        <f t="shared" si="140"/>
        <v>1623.7</v>
      </c>
      <c r="L142" s="58">
        <f>+J142-K142</f>
        <v>42.680000000000064</v>
      </c>
      <c r="M142" s="55">
        <f t="shared" si="142"/>
        <v>2.025603095351365</v>
      </c>
      <c r="N142" s="29">
        <f>SUM(L142:M142)</f>
        <v>44.70560309535143</v>
      </c>
      <c r="O142" s="16">
        <f aca="true" t="shared" si="151" ref="O142:O149">IF($D142&lt;O$8,O$12,IF($D142&lt;P$8,P$8-$D142,0))</f>
        <v>0</v>
      </c>
      <c r="P142" s="16">
        <f aca="true" t="shared" si="152" ref="P142:P149">IF($D142&lt;P$8,P$12,IF($D142&lt;Q$8,Q$8-$D142,0))</f>
        <v>72</v>
      </c>
      <c r="Q142" s="16">
        <f aca="true" t="shared" si="153" ref="Q142:Q149">IF($D142&lt;Q$8,Q$12,IF($D142&lt;R$8,R$8-$D142,0))</f>
        <v>92</v>
      </c>
      <c r="R142" s="16">
        <f aca="true" t="shared" si="154" ref="R142:R149">IF($D142&lt;R$8,R$12,IF($D142&lt;S$8,S$8-$D142,0))</f>
        <v>92</v>
      </c>
      <c r="S142" s="16">
        <f aca="true" t="shared" si="155" ref="S142:U149">IF($D142&lt;S$8,S$12,IF($D142&lt;T$8,T$8-$D142,0))</f>
        <v>90</v>
      </c>
      <c r="T142" s="16">
        <f t="shared" si="155"/>
        <v>91</v>
      </c>
      <c r="U142" s="16">
        <f t="shared" si="155"/>
        <v>0</v>
      </c>
      <c r="V142" s="106">
        <f aca="true" t="shared" si="156" ref="V142:V149">IF(W$8&lt;V$8,0,IF($D142&lt;V$8,V$12,IF($D142&lt;W$8,W$8-$D142,0)))</f>
        <v>0</v>
      </c>
      <c r="W142" s="141">
        <f aca="true" t="shared" si="157" ref="W142:W149">$L142*O$11*O142</f>
        <v>0</v>
      </c>
      <c r="X142" s="63">
        <f>($L142+SUM($W142:W142))*(P$11*P142)</f>
        <v>0.29466739726027447</v>
      </c>
      <c r="Y142" s="63">
        <f>($L142+SUM($W142:X142))*(Q$11*Q142)</f>
        <v>0.3942837429587545</v>
      </c>
      <c r="Z142" s="63">
        <f>($L142+SUM($W142:Y142))*(R$11*R142)</f>
        <v>0.4237720818446467</v>
      </c>
      <c r="AA142" s="63">
        <f>($L142+SUM($W142:Z142))*(S$11*S142)</f>
        <v>0.4456059562924513</v>
      </c>
      <c r="AB142" s="63">
        <f>($L142+SUM($W142:AA142))*(T$11*T142)</f>
        <v>0.4672739169952379</v>
      </c>
      <c r="AC142" s="63">
        <f>($L142+SUM($W142:AB142))*(U$11*U142)</f>
        <v>0</v>
      </c>
      <c r="AD142" s="63">
        <f>($L142+SUM($W142:AC142))*(V$11*V142)</f>
        <v>0</v>
      </c>
      <c r="AE142" s="110">
        <f aca="true" t="shared" si="158" ref="AE142:AE149">SUM(W142:AD142)</f>
        <v>2.025603095351365</v>
      </c>
    </row>
    <row r="143" spans="1:31" ht="12.75">
      <c r="A143" s="16">
        <v>4</v>
      </c>
      <c r="B143" s="15">
        <f t="shared" si="100"/>
        <v>42826</v>
      </c>
      <c r="C143" s="243">
        <f t="shared" si="144"/>
        <v>42858</v>
      </c>
      <c r="D143" s="243">
        <f t="shared" si="144"/>
        <v>42873</v>
      </c>
      <c r="E143" s="30" t="s">
        <v>138</v>
      </c>
      <c r="F143" s="3">
        <v>9</v>
      </c>
      <c r="G143" s="359">
        <f>+'[2]Load WS'!$H$21</f>
        <v>1</v>
      </c>
      <c r="H143" s="246">
        <f t="shared" si="145"/>
        <v>1623.7</v>
      </c>
      <c r="I143" s="246">
        <f t="shared" si="131"/>
        <v>1666.38</v>
      </c>
      <c r="J143" s="56">
        <f t="shared" si="101"/>
        <v>1666.38</v>
      </c>
      <c r="K143" s="57">
        <f t="shared" si="140"/>
        <v>1623.7</v>
      </c>
      <c r="L143" s="58">
        <f aca="true" t="shared" si="159" ref="L143:L153">+J143-K143</f>
        <v>42.680000000000064</v>
      </c>
      <c r="M143" s="55">
        <f t="shared" si="142"/>
        <v>1.9063946412986754</v>
      </c>
      <c r="N143" s="29">
        <f aca="true" t="shared" si="160" ref="N143:N153">SUM(L143:M143)</f>
        <v>44.58639464129874</v>
      </c>
      <c r="O143" s="16">
        <f t="shared" si="151"/>
        <v>0</v>
      </c>
      <c r="P143" s="16">
        <f t="shared" si="152"/>
        <v>44</v>
      </c>
      <c r="Q143" s="16">
        <f t="shared" si="153"/>
        <v>92</v>
      </c>
      <c r="R143" s="16">
        <f t="shared" si="154"/>
        <v>92</v>
      </c>
      <c r="S143" s="16">
        <f t="shared" si="155"/>
        <v>90</v>
      </c>
      <c r="T143" s="16">
        <f t="shared" si="155"/>
        <v>91</v>
      </c>
      <c r="U143" s="16">
        <f t="shared" si="155"/>
        <v>0</v>
      </c>
      <c r="V143" s="106">
        <f t="shared" si="156"/>
        <v>0</v>
      </c>
      <c r="W143" s="141">
        <f t="shared" si="157"/>
        <v>0</v>
      </c>
      <c r="X143" s="63">
        <f>($L143+SUM($W143:W143))*(P$11*P143)</f>
        <v>0.1800745205479455</v>
      </c>
      <c r="Y143" s="63">
        <f>($L143+SUM($W143:X143))*(Q$11*Q143)</f>
        <v>0.3932323768614004</v>
      </c>
      <c r="Z143" s="63">
        <f>($L143+SUM($W143:Y143))*(R$11*R143)</f>
        <v>0.4226420844561842</v>
      </c>
      <c r="AA143" s="63">
        <f>($L143+SUM($W143:Z143))*(S$11*S143)</f>
        <v>0.444417738407257</v>
      </c>
      <c r="AB143" s="63">
        <f>($L143+SUM($W143:AA143))*(T$11*T143)</f>
        <v>0.4660279210258884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58"/>
        <v>1.9063946412986754</v>
      </c>
    </row>
    <row r="144" spans="1:31" ht="12.75">
      <c r="A144" s="3">
        <v>5</v>
      </c>
      <c r="B144" s="15">
        <f t="shared" si="100"/>
        <v>42856</v>
      </c>
      <c r="C144" s="243">
        <f t="shared" si="144"/>
        <v>42891</v>
      </c>
      <c r="D144" s="243">
        <f t="shared" si="144"/>
        <v>42906</v>
      </c>
      <c r="E144" s="30" t="s">
        <v>138</v>
      </c>
      <c r="F144" s="3">
        <v>9</v>
      </c>
      <c r="G144" s="359">
        <f>+'[2]Load WS'!$I$21</f>
        <v>2</v>
      </c>
      <c r="H144" s="246">
        <f t="shared" si="145"/>
        <v>1623.7</v>
      </c>
      <c r="I144" s="246">
        <f t="shared" si="131"/>
        <v>1666.38</v>
      </c>
      <c r="J144" s="56">
        <f t="shared" si="101"/>
        <v>3332.76</v>
      </c>
      <c r="K144" s="57">
        <f t="shared" si="140"/>
        <v>3247.4</v>
      </c>
      <c r="L144" s="58">
        <f t="shared" si="159"/>
        <v>85.36000000000013</v>
      </c>
      <c r="M144" s="55">
        <f t="shared" si="142"/>
        <v>3.5317979266160116</v>
      </c>
      <c r="N144" s="29">
        <f t="shared" si="160"/>
        <v>88.89179792661614</v>
      </c>
      <c r="O144" s="16">
        <f t="shared" si="151"/>
        <v>0</v>
      </c>
      <c r="P144" s="16">
        <f t="shared" si="152"/>
        <v>11</v>
      </c>
      <c r="Q144" s="16">
        <f t="shared" si="153"/>
        <v>92</v>
      </c>
      <c r="R144" s="16">
        <f t="shared" si="154"/>
        <v>92</v>
      </c>
      <c r="S144" s="16">
        <f t="shared" si="155"/>
        <v>90</v>
      </c>
      <c r="T144" s="16">
        <f t="shared" si="155"/>
        <v>91</v>
      </c>
      <c r="U144" s="16">
        <f t="shared" si="155"/>
        <v>0</v>
      </c>
      <c r="V144" s="106">
        <f t="shared" si="156"/>
        <v>0</v>
      </c>
      <c r="W144" s="141">
        <f t="shared" si="157"/>
        <v>0</v>
      </c>
      <c r="X144" s="63">
        <f>($L144+SUM($W144:W144))*(P$11*P144)</f>
        <v>0.09003726027397276</v>
      </c>
      <c r="Y144" s="63">
        <f>($L144+SUM($W144:X144))*(Q$11*Q144)</f>
        <v>0.7839865336361804</v>
      </c>
      <c r="Z144" s="63">
        <f>($L144+SUM($W144:Y144))*(R$11*R144)</f>
        <v>0.8426206036395637</v>
      </c>
      <c r="AA144" s="63">
        <f>($L144+SUM($W144:Z144))*(S$11*S144)</f>
        <v>0.8860346775136989</v>
      </c>
      <c r="AB144" s="63">
        <f>($L144+SUM($W144:AA144))*(T$11*T144)</f>
        <v>0.9291188515525959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58"/>
        <v>3.5317979266160116</v>
      </c>
    </row>
    <row r="145" spans="1:31" ht="12.75">
      <c r="A145" s="3">
        <v>6</v>
      </c>
      <c r="B145" s="15">
        <f t="shared" si="100"/>
        <v>42887</v>
      </c>
      <c r="C145" s="243">
        <f t="shared" si="144"/>
        <v>42922</v>
      </c>
      <c r="D145" s="243">
        <f t="shared" si="144"/>
        <v>42937</v>
      </c>
      <c r="E145" s="30" t="s">
        <v>138</v>
      </c>
      <c r="F145" s="3">
        <v>9</v>
      </c>
      <c r="G145" s="359">
        <f>+'[2]Load WS'!$J$21</f>
        <v>2</v>
      </c>
      <c r="H145" s="246">
        <f t="shared" si="145"/>
        <v>1623.7</v>
      </c>
      <c r="I145" s="246">
        <f t="shared" si="131"/>
        <v>1666.38</v>
      </c>
      <c r="J145" s="56">
        <f t="shared" si="101"/>
        <v>3332.76</v>
      </c>
      <c r="K145" s="57">
        <f t="shared" si="140"/>
        <v>3247.4</v>
      </c>
      <c r="L145" s="77">
        <f t="shared" si="159"/>
        <v>85.36000000000013</v>
      </c>
      <c r="M145" s="78">
        <f t="shared" si="142"/>
        <v>3.2626346102605406</v>
      </c>
      <c r="N145" s="76">
        <f t="shared" si="160"/>
        <v>88.62263461026066</v>
      </c>
      <c r="O145" s="16">
        <f t="shared" si="151"/>
        <v>0</v>
      </c>
      <c r="P145" s="16">
        <f t="shared" si="152"/>
        <v>0</v>
      </c>
      <c r="Q145" s="16">
        <f t="shared" si="153"/>
        <v>72</v>
      </c>
      <c r="R145" s="16">
        <f t="shared" si="154"/>
        <v>92</v>
      </c>
      <c r="S145" s="16">
        <f t="shared" si="155"/>
        <v>90</v>
      </c>
      <c r="T145" s="16">
        <f t="shared" si="155"/>
        <v>91</v>
      </c>
      <c r="U145" s="16">
        <f t="shared" si="155"/>
        <v>0</v>
      </c>
      <c r="V145" s="106">
        <f t="shared" si="156"/>
        <v>0</v>
      </c>
      <c r="W145" s="141">
        <f t="shared" si="157"/>
        <v>0</v>
      </c>
      <c r="X145" s="63">
        <f>($L145+SUM($W145:W145))*(P$11*P145)</f>
        <v>0</v>
      </c>
      <c r="Y145" s="63">
        <f>($L145+SUM($W145:X145))*(Q$11*Q145)</f>
        <v>0.6129081863013707</v>
      </c>
      <c r="Z145" s="63">
        <f>($L145+SUM($W145:Y145))*(R$11*R145)</f>
        <v>0.8400691583836999</v>
      </c>
      <c r="AA145" s="63">
        <f>($L145+SUM($W145:Z145))*(S$11*S145)</f>
        <v>0.8833517749538652</v>
      </c>
      <c r="AB145" s="63">
        <f>($L145+SUM($W145:AA145))*(T$11*T145)</f>
        <v>0.9263054906216049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58"/>
        <v>3.2626346102605406</v>
      </c>
    </row>
    <row r="146" spans="1:31" ht="12.75">
      <c r="A146" s="16">
        <v>7</v>
      </c>
      <c r="B146" s="15">
        <f t="shared" si="100"/>
        <v>42917</v>
      </c>
      <c r="C146" s="243">
        <f t="shared" si="144"/>
        <v>42950</v>
      </c>
      <c r="D146" s="243">
        <f t="shared" si="144"/>
        <v>42965</v>
      </c>
      <c r="E146" s="30" t="s">
        <v>138</v>
      </c>
      <c r="F146" s="3">
        <v>9</v>
      </c>
      <c r="G146" s="359">
        <f>+'[2]Load WS'!$K$21</f>
        <v>4</v>
      </c>
      <c r="H146" s="246">
        <f aca="true" t="shared" si="161" ref="H146:H151">$K$8</f>
        <v>1651.41</v>
      </c>
      <c r="I146" s="246">
        <f t="shared" si="131"/>
        <v>1666.38</v>
      </c>
      <c r="J146" s="56">
        <f t="shared" si="101"/>
        <v>6665.52</v>
      </c>
      <c r="K146" s="74">
        <f t="shared" si="140"/>
        <v>6605.64</v>
      </c>
      <c r="L146" s="77">
        <f t="shared" si="159"/>
        <v>59.88000000000011</v>
      </c>
      <c r="M146" s="75">
        <f t="shared" si="142"/>
        <v>2.116378675928209</v>
      </c>
      <c r="N146" s="76">
        <f t="shared" si="160"/>
        <v>61.99637867592832</v>
      </c>
      <c r="O146" s="16">
        <f t="shared" si="151"/>
        <v>0</v>
      </c>
      <c r="P146" s="16">
        <f t="shared" si="152"/>
        <v>0</v>
      </c>
      <c r="Q146" s="16">
        <f t="shared" si="153"/>
        <v>44</v>
      </c>
      <c r="R146" s="16">
        <f t="shared" si="154"/>
        <v>92</v>
      </c>
      <c r="S146" s="16">
        <f t="shared" si="155"/>
        <v>90</v>
      </c>
      <c r="T146" s="16">
        <f t="shared" si="155"/>
        <v>91</v>
      </c>
      <c r="U146" s="16">
        <f t="shared" si="155"/>
        <v>0</v>
      </c>
      <c r="V146" s="106">
        <f t="shared" si="156"/>
        <v>0</v>
      </c>
      <c r="W146" s="141">
        <f t="shared" si="157"/>
        <v>0</v>
      </c>
      <c r="X146" s="63">
        <f>($L146+SUM($W146:W146))*(P$11*P146)</f>
        <v>0</v>
      </c>
      <c r="Y146" s="63">
        <f>($L146+SUM($W146:X146))*(Q$11*Q146)</f>
        <v>0.26275015890411</v>
      </c>
      <c r="Z146" s="63">
        <f>($L146+SUM($W146:Y146))*(R$11*R146)</f>
        <v>0.5876743101371794</v>
      </c>
      <c r="AA146" s="63">
        <f>($L146+SUM($W146:Z146))*(S$11*S146)</f>
        <v>0.6179528670630677</v>
      </c>
      <c r="AB146" s="63">
        <f>($L146+SUM($W146:AA146))*(T$11*T146)</f>
        <v>0.6480013398238519</v>
      </c>
      <c r="AC146" s="63">
        <f>($L146+SUM($W146:AB146))*(U$11*U146)</f>
        <v>0</v>
      </c>
      <c r="AD146" s="63">
        <f>($L146+SUM($W146:AC146))*(V$11*V146)</f>
        <v>0</v>
      </c>
      <c r="AE146" s="110">
        <f t="shared" si="158"/>
        <v>2.116378675928209</v>
      </c>
    </row>
    <row r="147" spans="1:31" ht="12.75">
      <c r="A147" s="3">
        <v>8</v>
      </c>
      <c r="B147" s="15">
        <f t="shared" si="100"/>
        <v>42948</v>
      </c>
      <c r="C147" s="243">
        <f t="shared" si="144"/>
        <v>42984</v>
      </c>
      <c r="D147" s="243">
        <f t="shared" si="144"/>
        <v>42999</v>
      </c>
      <c r="E147" s="30" t="s">
        <v>138</v>
      </c>
      <c r="F147" s="3">
        <v>9</v>
      </c>
      <c r="G147" s="359">
        <f>+'[2]Load WS'!$L$21</f>
        <v>2</v>
      </c>
      <c r="H147" s="246">
        <f t="shared" si="161"/>
        <v>1651.41</v>
      </c>
      <c r="I147" s="246">
        <f t="shared" si="131"/>
        <v>1666.38</v>
      </c>
      <c r="J147" s="56">
        <f t="shared" si="101"/>
        <v>3332.76</v>
      </c>
      <c r="K147" s="74">
        <f t="shared" si="140"/>
        <v>3302.82</v>
      </c>
      <c r="L147" s="77">
        <f t="shared" si="159"/>
        <v>29.940000000000055</v>
      </c>
      <c r="M147" s="75">
        <f t="shared" si="142"/>
        <v>0.9535434250039201</v>
      </c>
      <c r="N147" s="76">
        <f t="shared" si="160"/>
        <v>30.893543425003976</v>
      </c>
      <c r="O147" s="16">
        <f t="shared" si="151"/>
        <v>0</v>
      </c>
      <c r="P147" s="16">
        <f t="shared" si="152"/>
        <v>0</v>
      </c>
      <c r="Q147" s="16">
        <f t="shared" si="153"/>
        <v>10</v>
      </c>
      <c r="R147" s="16">
        <f t="shared" si="154"/>
        <v>92</v>
      </c>
      <c r="S147" s="16">
        <f t="shared" si="155"/>
        <v>90</v>
      </c>
      <c r="T147" s="16">
        <f t="shared" si="155"/>
        <v>91</v>
      </c>
      <c r="U147" s="16">
        <f t="shared" si="155"/>
        <v>0</v>
      </c>
      <c r="V147" s="106">
        <f t="shared" si="156"/>
        <v>0</v>
      </c>
      <c r="W147" s="141">
        <f t="shared" si="157"/>
        <v>0</v>
      </c>
      <c r="X147" s="63">
        <f>($L147+SUM($W147:W147))*(P$11*P147)</f>
        <v>0</v>
      </c>
      <c r="Y147" s="63">
        <f>($L147+SUM($W147:X147))*(Q$11*Q147)</f>
        <v>0.029857972602739778</v>
      </c>
      <c r="Z147" s="63">
        <f>($L147+SUM($W147:Y147))*(R$11*R147)</f>
        <v>0.29284519850562635</v>
      </c>
      <c r="AA147" s="63">
        <f>($L147+SUM($W147:Z147))*(S$11*S147)</f>
        <v>0.30793336870547033</v>
      </c>
      <c r="AB147" s="63">
        <f>($L147+SUM($W147:AA147))*(T$11*T147)</f>
        <v>0.32290688519008354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8"/>
        <v>0.9535434250039201</v>
      </c>
    </row>
    <row r="148" spans="1:31" ht="12.75">
      <c r="A148" s="3">
        <v>9</v>
      </c>
      <c r="B148" s="15">
        <f t="shared" si="100"/>
        <v>42979</v>
      </c>
      <c r="C148" s="243">
        <f t="shared" si="144"/>
        <v>43012</v>
      </c>
      <c r="D148" s="243">
        <f t="shared" si="144"/>
        <v>43027</v>
      </c>
      <c r="E148" s="30" t="s">
        <v>138</v>
      </c>
      <c r="F148" s="3">
        <v>9</v>
      </c>
      <c r="G148" s="359">
        <f>+'[2]Load WS'!$M$21</f>
        <v>1</v>
      </c>
      <c r="H148" s="246">
        <f t="shared" si="161"/>
        <v>1651.41</v>
      </c>
      <c r="I148" s="246">
        <f aca="true" t="shared" si="162" ref="I148:I179">$J$3</f>
        <v>1666.38</v>
      </c>
      <c r="J148" s="56">
        <f t="shared" si="101"/>
        <v>1666.38</v>
      </c>
      <c r="K148" s="74">
        <f t="shared" si="140"/>
        <v>1651.41</v>
      </c>
      <c r="L148" s="77">
        <f t="shared" si="159"/>
        <v>14.970000000000027</v>
      </c>
      <c r="M148" s="75">
        <f t="shared" si="142"/>
        <v>0.43216666477955346</v>
      </c>
      <c r="N148" s="76">
        <f t="shared" si="160"/>
        <v>15.40216666477958</v>
      </c>
      <c r="O148" s="16">
        <f t="shared" si="151"/>
        <v>0</v>
      </c>
      <c r="P148" s="16">
        <f t="shared" si="152"/>
        <v>0</v>
      </c>
      <c r="Q148" s="16">
        <f t="shared" si="153"/>
        <v>0</v>
      </c>
      <c r="R148" s="16">
        <f t="shared" si="154"/>
        <v>74</v>
      </c>
      <c r="S148" s="16">
        <f t="shared" si="155"/>
        <v>90</v>
      </c>
      <c r="T148" s="16">
        <f t="shared" si="155"/>
        <v>91</v>
      </c>
      <c r="U148" s="16">
        <f t="shared" si="155"/>
        <v>0</v>
      </c>
      <c r="V148" s="106">
        <f t="shared" si="156"/>
        <v>0</v>
      </c>
      <c r="W148" s="141">
        <f t="shared" si="157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0.11765736438356184</v>
      </c>
      <c r="AA148" s="63">
        <f>($L148+SUM($W148:Z148))*(S$11*S148)</f>
        <v>0.15352208068854972</v>
      </c>
      <c r="AB148" s="63">
        <f>($L148+SUM($W148:AA148))*(T$11*T148)</f>
        <v>0.1609872197074419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8"/>
        <v>0.43216666477955346</v>
      </c>
    </row>
    <row r="149" spans="1:31" ht="12.75">
      <c r="A149" s="16">
        <v>10</v>
      </c>
      <c r="B149" s="15">
        <f aca="true" t="shared" si="163" ref="B149:B211">DATE($N$1,A149,1)</f>
        <v>43009</v>
      </c>
      <c r="C149" s="243">
        <f t="shared" si="144"/>
        <v>43042</v>
      </c>
      <c r="D149" s="243">
        <f t="shared" si="144"/>
        <v>43059</v>
      </c>
      <c r="E149" s="30" t="s">
        <v>138</v>
      </c>
      <c r="F149" s="3">
        <v>9</v>
      </c>
      <c r="G149" s="359">
        <f>+'[2]Load WS'!$N$21</f>
        <v>1</v>
      </c>
      <c r="H149" s="246">
        <f t="shared" si="161"/>
        <v>1651.41</v>
      </c>
      <c r="I149" s="246">
        <f t="shared" si="162"/>
        <v>1666.38</v>
      </c>
      <c r="J149" s="56">
        <f aca="true" t="shared" si="164" ref="J149:J211">+$G149*I149</f>
        <v>1666.38</v>
      </c>
      <c r="K149" s="74">
        <f t="shared" si="140"/>
        <v>1651.41</v>
      </c>
      <c r="L149" s="77">
        <f t="shared" si="159"/>
        <v>14.970000000000027</v>
      </c>
      <c r="M149" s="75">
        <f t="shared" si="142"/>
        <v>0.3802272107789836</v>
      </c>
      <c r="N149" s="76">
        <f t="shared" si="160"/>
        <v>15.35022721077901</v>
      </c>
      <c r="O149" s="16">
        <f t="shared" si="151"/>
        <v>0</v>
      </c>
      <c r="P149" s="16">
        <f t="shared" si="152"/>
        <v>0</v>
      </c>
      <c r="Q149" s="16">
        <f t="shared" si="153"/>
        <v>0</v>
      </c>
      <c r="R149" s="16">
        <f t="shared" si="154"/>
        <v>42</v>
      </c>
      <c r="S149" s="16">
        <f t="shared" si="155"/>
        <v>90</v>
      </c>
      <c r="T149" s="16">
        <f t="shared" si="155"/>
        <v>91</v>
      </c>
      <c r="U149" s="16">
        <f t="shared" si="155"/>
        <v>0</v>
      </c>
      <c r="V149" s="106">
        <f t="shared" si="156"/>
        <v>0</v>
      </c>
      <c r="W149" s="141">
        <f t="shared" si="157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0.06677850410958916</v>
      </c>
      <c r="AA149" s="63">
        <f>($L149+SUM($W149:Z149))*(S$11*S149)</f>
        <v>0.15300437086099483</v>
      </c>
      <c r="AB149" s="63">
        <f>($L149+SUM($W149:AA149))*(T$11*T149)</f>
        <v>0.16044433580839962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8"/>
        <v>0.3802272107789836</v>
      </c>
    </row>
    <row r="150" spans="1:31" ht="12.75">
      <c r="A150" s="3">
        <v>11</v>
      </c>
      <c r="B150" s="15">
        <f t="shared" si="163"/>
        <v>43040</v>
      </c>
      <c r="C150" s="243">
        <f t="shared" si="144"/>
        <v>43074</v>
      </c>
      <c r="D150" s="243">
        <f t="shared" si="144"/>
        <v>43089</v>
      </c>
      <c r="E150" s="30" t="s">
        <v>138</v>
      </c>
      <c r="F150" s="3">
        <v>9</v>
      </c>
      <c r="G150" s="359">
        <f>+'[2]Load WS'!$O$21</f>
        <v>1</v>
      </c>
      <c r="H150" s="246">
        <f t="shared" si="161"/>
        <v>1651.41</v>
      </c>
      <c r="I150" s="246">
        <f t="shared" si="162"/>
        <v>1666.38</v>
      </c>
      <c r="J150" s="56">
        <f t="shared" si="164"/>
        <v>1666.38</v>
      </c>
      <c r="K150" s="74">
        <f t="shared" si="140"/>
        <v>1651.41</v>
      </c>
      <c r="L150" s="77">
        <f t="shared" si="159"/>
        <v>14.970000000000027</v>
      </c>
      <c r="M150" s="75">
        <f t="shared" si="142"/>
        <v>0.3315339726534494</v>
      </c>
      <c r="N150" s="76">
        <f t="shared" si="160"/>
        <v>15.301533972653477</v>
      </c>
      <c r="O150" s="16">
        <f t="shared" si="146"/>
        <v>0</v>
      </c>
      <c r="P150" s="16">
        <f t="shared" si="147"/>
        <v>0</v>
      </c>
      <c r="Q150" s="16">
        <f t="shared" si="148"/>
        <v>0</v>
      </c>
      <c r="R150" s="16">
        <f t="shared" si="149"/>
        <v>12</v>
      </c>
      <c r="S150" s="16">
        <f aca="true" t="shared" si="165" ref="S150:U154">IF($D150&lt;S$8,S$12,IF($D150&lt;T$8,T$8-$D150,0))</f>
        <v>90</v>
      </c>
      <c r="T150" s="16">
        <f t="shared" si="165"/>
        <v>91</v>
      </c>
      <c r="U150" s="16">
        <f t="shared" si="165"/>
        <v>0</v>
      </c>
      <c r="V150" s="106">
        <f t="shared" si="135"/>
        <v>0</v>
      </c>
      <c r="W150" s="141">
        <f t="shared" si="13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0.01907957260273976</v>
      </c>
      <c r="AA150" s="63">
        <f>($L150+SUM($W150:Z150))*(S$11*S150)</f>
        <v>0.15251901789766212</v>
      </c>
      <c r="AB150" s="63">
        <f>($L150+SUM($W150:AA150))*(T$11*T150)</f>
        <v>0.1599353821530475</v>
      </c>
      <c r="AC150" s="63">
        <f>($L150+SUM($W150:AB150))*(U$11*U150)</f>
        <v>0</v>
      </c>
      <c r="AD150" s="63">
        <f>($L150+SUM($W150:AC150))*(V$11*V150)</f>
        <v>0</v>
      </c>
      <c r="AE150" s="110">
        <f aca="true" t="shared" si="166" ref="AE150:AE163">SUM(W150:AD150)</f>
        <v>0.3315339726534494</v>
      </c>
    </row>
    <row r="151" spans="1:31" s="69" customFormat="1" ht="12.75">
      <c r="A151" s="3">
        <v>12</v>
      </c>
      <c r="B151" s="83">
        <f t="shared" si="163"/>
        <v>43070</v>
      </c>
      <c r="C151" s="243">
        <f t="shared" si="144"/>
        <v>43104</v>
      </c>
      <c r="D151" s="243">
        <f t="shared" si="144"/>
        <v>43119</v>
      </c>
      <c r="E151" s="84" t="s">
        <v>138</v>
      </c>
      <c r="F151" s="81">
        <v>9</v>
      </c>
      <c r="G151" s="360">
        <f>+'[2]Load WS'!$P$21</f>
        <v>2</v>
      </c>
      <c r="H151" s="247">
        <f t="shared" si="161"/>
        <v>1651.41</v>
      </c>
      <c r="I151" s="247">
        <f t="shared" si="162"/>
        <v>1666.38</v>
      </c>
      <c r="J151" s="85">
        <f t="shared" si="164"/>
        <v>3332.76</v>
      </c>
      <c r="K151" s="86">
        <f t="shared" si="140"/>
        <v>3302.82</v>
      </c>
      <c r="L151" s="87">
        <f t="shared" si="159"/>
        <v>29.940000000000055</v>
      </c>
      <c r="M151" s="88">
        <f t="shared" si="142"/>
        <v>0.5625398224753142</v>
      </c>
      <c r="N151" s="89">
        <f t="shared" si="160"/>
        <v>30.50253982247537</v>
      </c>
      <c r="O151" s="81">
        <f t="shared" si="146"/>
        <v>0</v>
      </c>
      <c r="P151" s="81">
        <f t="shared" si="147"/>
        <v>0</v>
      </c>
      <c r="Q151" s="81">
        <f t="shared" si="148"/>
        <v>0</v>
      </c>
      <c r="R151" s="81">
        <f t="shared" si="149"/>
        <v>0</v>
      </c>
      <c r="S151" s="81">
        <f t="shared" si="165"/>
        <v>72</v>
      </c>
      <c r="T151" s="81">
        <f t="shared" si="165"/>
        <v>91</v>
      </c>
      <c r="U151" s="81">
        <f t="shared" si="165"/>
        <v>0</v>
      </c>
      <c r="V151" s="107">
        <f t="shared" si="135"/>
        <v>0</v>
      </c>
      <c r="W151" s="142">
        <f t="shared" si="136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0.24371980273972646</v>
      </c>
      <c r="AB151" s="90">
        <f>($L151+SUM($W151:AA151))*(T$11*T151)</f>
        <v>0.31882001973558777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66"/>
        <v>0.5625398224753142</v>
      </c>
    </row>
    <row r="152" spans="1:31" ht="12.75">
      <c r="A152" s="16">
        <v>1</v>
      </c>
      <c r="B152" s="15">
        <f t="shared" si="163"/>
        <v>42736</v>
      </c>
      <c r="C152" s="242">
        <f aca="true" t="shared" si="167" ref="C152:D171">+C140</f>
        <v>42769</v>
      </c>
      <c r="D152" s="242">
        <f t="shared" si="167"/>
        <v>42786</v>
      </c>
      <c r="E152" s="117" t="s">
        <v>218</v>
      </c>
      <c r="F152" s="16">
        <v>9</v>
      </c>
      <c r="G152" s="359">
        <f>+'[2]Load WS'!$E$22</f>
        <v>97</v>
      </c>
      <c r="H152" s="246">
        <f aca="true" t="shared" si="168" ref="H152:H157">$K$3</f>
        <v>1623.7</v>
      </c>
      <c r="I152" s="246">
        <f t="shared" si="162"/>
        <v>1666.38</v>
      </c>
      <c r="J152" s="56">
        <f t="shared" si="164"/>
        <v>161638.86000000002</v>
      </c>
      <c r="K152" s="57">
        <f t="shared" si="140"/>
        <v>157498.9</v>
      </c>
      <c r="L152" s="58">
        <f t="shared" si="159"/>
        <v>4139.960000000021</v>
      </c>
      <c r="M152" s="55">
        <f t="shared" si="142"/>
        <v>220.99300101834785</v>
      </c>
      <c r="N152" s="29">
        <f t="shared" si="160"/>
        <v>4360.953001018369</v>
      </c>
      <c r="O152" s="16">
        <f t="shared" si="146"/>
        <v>40</v>
      </c>
      <c r="P152" s="16">
        <f t="shared" si="147"/>
        <v>91</v>
      </c>
      <c r="Q152" s="16">
        <f t="shared" si="148"/>
        <v>92</v>
      </c>
      <c r="R152" s="16">
        <f t="shared" si="149"/>
        <v>92</v>
      </c>
      <c r="S152" s="16">
        <f t="shared" si="165"/>
        <v>90</v>
      </c>
      <c r="T152" s="16">
        <f t="shared" si="165"/>
        <v>91</v>
      </c>
      <c r="U152" s="16">
        <f t="shared" si="165"/>
        <v>0</v>
      </c>
      <c r="V152" s="106">
        <f aca="true" t="shared" si="169" ref="V152:V159">IF(W$8&lt;V$8,0,IF($D152&lt;V$8,V$12,IF($D152&lt;W$8,W$8-$D152,0)))</f>
        <v>0</v>
      </c>
      <c r="W152" s="141">
        <f aca="true" t="shared" si="170" ref="W152:W159">$L152*O$11*O152</f>
        <v>15.879298630137068</v>
      </c>
      <c r="X152" s="63">
        <f>($L152+SUM($W152:W152))*(P$11*P152)</f>
        <v>36.26396757845768</v>
      </c>
      <c r="Y152" s="63">
        <f>($L152+SUM($W152:X152))*(Q$11*Q152)</f>
        <v>38.46168607638194</v>
      </c>
      <c r="Z152" s="63">
        <f>($L152+SUM($W152:Y152))*(R$11*R152)</f>
        <v>41.33822170179777</v>
      </c>
      <c r="AA152" s="63">
        <f>($L152+SUM($W152:Z152))*(S$11*S152)</f>
        <v>43.468077775854674</v>
      </c>
      <c r="AB152" s="63">
        <f>($L152+SUM($W152:AA152))*(T$11*T152)</f>
        <v>45.58174925571871</v>
      </c>
      <c r="AC152" s="63">
        <f>($L152+SUM($W152:AB152))*(U$11*U152)</f>
        <v>0</v>
      </c>
      <c r="AD152" s="63">
        <f>($L152+SUM($W152:AC152))*(V$11*V152)</f>
        <v>0</v>
      </c>
      <c r="AE152" s="110">
        <f t="shared" si="166"/>
        <v>220.99300101834785</v>
      </c>
    </row>
    <row r="153" spans="1:31" ht="12.75">
      <c r="A153" s="3">
        <v>2</v>
      </c>
      <c r="B153" s="15">
        <f t="shared" si="163"/>
        <v>42767</v>
      </c>
      <c r="C153" s="243">
        <f t="shared" si="167"/>
        <v>42797</v>
      </c>
      <c r="D153" s="243">
        <f t="shared" si="167"/>
        <v>42814</v>
      </c>
      <c r="E153" s="148" t="s">
        <v>218</v>
      </c>
      <c r="F153" s="3">
        <v>9</v>
      </c>
      <c r="G153" s="359">
        <f>+'[2]Load WS'!$F$22</f>
        <v>88</v>
      </c>
      <c r="H153" s="246">
        <f t="shared" si="168"/>
        <v>1623.7</v>
      </c>
      <c r="I153" s="246">
        <f t="shared" si="162"/>
        <v>1666.38</v>
      </c>
      <c r="J153" s="56">
        <f t="shared" si="164"/>
        <v>146641.44</v>
      </c>
      <c r="K153" s="57">
        <f t="shared" si="140"/>
        <v>142885.6</v>
      </c>
      <c r="L153" s="58">
        <f t="shared" si="159"/>
        <v>3755.8399999999965</v>
      </c>
      <c r="M153" s="55">
        <f t="shared" si="142"/>
        <v>189.90661278381265</v>
      </c>
      <c r="N153" s="29">
        <f t="shared" si="160"/>
        <v>3945.7466127838093</v>
      </c>
      <c r="O153" s="16">
        <f t="shared" si="146"/>
        <v>12</v>
      </c>
      <c r="P153" s="16">
        <f t="shared" si="147"/>
        <v>91</v>
      </c>
      <c r="Q153" s="16">
        <f t="shared" si="148"/>
        <v>92</v>
      </c>
      <c r="R153" s="16">
        <f t="shared" si="149"/>
        <v>92</v>
      </c>
      <c r="S153" s="16">
        <f t="shared" si="165"/>
        <v>90</v>
      </c>
      <c r="T153" s="16">
        <f t="shared" si="165"/>
        <v>91</v>
      </c>
      <c r="U153" s="16">
        <f t="shared" si="165"/>
        <v>0</v>
      </c>
      <c r="V153" s="106">
        <f t="shared" si="169"/>
        <v>0</v>
      </c>
      <c r="W153" s="141">
        <f t="shared" si="170"/>
        <v>4.321788493150682</v>
      </c>
      <c r="X153" s="63">
        <f>($L153+SUM($W153:W153))*(P$11*P153)</f>
        <v>32.81127478452239</v>
      </c>
      <c r="Y153" s="63">
        <f>($L153+SUM($W153:X153))*(Q$11*Q153)</f>
        <v>34.79974847754591</v>
      </c>
      <c r="Z153" s="63">
        <f>($L153+SUM($W153:Y153))*(R$11*R153)</f>
        <v>37.40240911110146</v>
      </c>
      <c r="AA153" s="63">
        <f>($L153+SUM($W153:Z153))*(S$11*S153)</f>
        <v>39.3294815624589</v>
      </c>
      <c r="AB153" s="63">
        <f>($L153+SUM($W153:AA153))*(T$11*T153)</f>
        <v>41.241910355033305</v>
      </c>
      <c r="AC153" s="63">
        <f>($L153+SUM($W153:AB153))*(U$11*U153)</f>
        <v>0</v>
      </c>
      <c r="AD153" s="63">
        <f>($L153+SUM($W153:AC153))*(V$11*V153)</f>
        <v>0</v>
      </c>
      <c r="AE153" s="110">
        <f t="shared" si="166"/>
        <v>189.90661278381265</v>
      </c>
    </row>
    <row r="154" spans="1:31" ht="12.75">
      <c r="A154" s="3">
        <v>3</v>
      </c>
      <c r="B154" s="15">
        <f t="shared" si="163"/>
        <v>42795</v>
      </c>
      <c r="C154" s="243">
        <f t="shared" si="167"/>
        <v>42830</v>
      </c>
      <c r="D154" s="243">
        <f t="shared" si="167"/>
        <v>42845</v>
      </c>
      <c r="E154" s="148" t="s">
        <v>218</v>
      </c>
      <c r="F154" s="3">
        <v>9</v>
      </c>
      <c r="G154" s="359">
        <f>+'[2]Load WS'!$G$22</f>
        <v>93</v>
      </c>
      <c r="H154" s="246">
        <f t="shared" si="168"/>
        <v>1623.7</v>
      </c>
      <c r="I154" s="246">
        <f t="shared" si="162"/>
        <v>1666.38</v>
      </c>
      <c r="J154" s="56">
        <f t="shared" si="164"/>
        <v>154973.34</v>
      </c>
      <c r="K154" s="57">
        <f t="shared" si="140"/>
        <v>151004.1</v>
      </c>
      <c r="L154" s="58">
        <f>+J154-K154</f>
        <v>3969.2399999999907</v>
      </c>
      <c r="M154" s="55">
        <f t="shared" si="142"/>
        <v>188.3810878676762</v>
      </c>
      <c r="N154" s="29">
        <f>SUM(L154:M154)</f>
        <v>4157.621087867667</v>
      </c>
      <c r="O154" s="16">
        <f t="shared" si="146"/>
        <v>0</v>
      </c>
      <c r="P154" s="16">
        <f t="shared" si="147"/>
        <v>72</v>
      </c>
      <c r="Q154" s="16">
        <f t="shared" si="148"/>
        <v>92</v>
      </c>
      <c r="R154" s="16">
        <f t="shared" si="149"/>
        <v>92</v>
      </c>
      <c r="S154" s="16">
        <f t="shared" si="165"/>
        <v>90</v>
      </c>
      <c r="T154" s="16">
        <f t="shared" si="165"/>
        <v>91</v>
      </c>
      <c r="U154" s="16">
        <f t="shared" si="165"/>
        <v>0</v>
      </c>
      <c r="V154" s="106">
        <f>IF(W$8&lt;V$8,0,IF($D154&lt;V$8,V$12,IF($D154&lt;W$8,W$8-$D154,0)))</f>
        <v>0</v>
      </c>
      <c r="W154" s="141">
        <f>$L154*O$11*O154</f>
        <v>0</v>
      </c>
      <c r="X154" s="63">
        <f>($L154+SUM($W154:W154))*(P$11*P154)</f>
        <v>27.40406794520542</v>
      </c>
      <c r="Y154" s="63">
        <f>($L154+SUM($W154:X154))*(Q$11*Q154)</f>
        <v>36.668388095164026</v>
      </c>
      <c r="Z154" s="63">
        <f>($L154+SUM($W154:Y154))*(R$11*R154)</f>
        <v>39.41080361155199</v>
      </c>
      <c r="AA154" s="63">
        <f>($L154+SUM($W154:Z154))*(S$11*S154)</f>
        <v>41.44135393519781</v>
      </c>
      <c r="AB154" s="63">
        <f>($L154+SUM($W154:AA154))*(T$11*T154)</f>
        <v>43.45647428055696</v>
      </c>
      <c r="AC154" s="63">
        <f>($L154+SUM($W154:AB154))*(U$11*U154)</f>
        <v>0</v>
      </c>
      <c r="AD154" s="63">
        <f>($L154+SUM($W154:AC154))*(V$11*V154)</f>
        <v>0</v>
      </c>
      <c r="AE154" s="110">
        <f t="shared" si="166"/>
        <v>188.3810878676762</v>
      </c>
    </row>
    <row r="155" spans="1:31" ht="12.75">
      <c r="A155" s="16">
        <v>4</v>
      </c>
      <c r="B155" s="15">
        <f t="shared" si="163"/>
        <v>42826</v>
      </c>
      <c r="C155" s="243">
        <f t="shared" si="167"/>
        <v>42858</v>
      </c>
      <c r="D155" s="243">
        <f t="shared" si="167"/>
        <v>42873</v>
      </c>
      <c r="E155" s="148" t="s">
        <v>218</v>
      </c>
      <c r="F155" s="3">
        <v>9</v>
      </c>
      <c r="G155" s="359">
        <f>+'[2]Load WS'!$H$22</f>
        <v>100</v>
      </c>
      <c r="H155" s="246">
        <f t="shared" si="168"/>
        <v>1623.7</v>
      </c>
      <c r="I155" s="246">
        <f t="shared" si="162"/>
        <v>1666.38</v>
      </c>
      <c r="J155" s="56">
        <f t="shared" si="164"/>
        <v>166638</v>
      </c>
      <c r="K155" s="57">
        <f t="shared" si="140"/>
        <v>162370</v>
      </c>
      <c r="L155" s="58">
        <f aca="true" t="shared" si="171" ref="L155:L165">+J155-K155</f>
        <v>4268</v>
      </c>
      <c r="M155" s="55">
        <f t="shared" si="142"/>
        <v>190.63946412986726</v>
      </c>
      <c r="N155" s="29">
        <f aca="true" t="shared" si="172" ref="N155:N165">SUM(L155:M155)</f>
        <v>4458.6394641298675</v>
      </c>
      <c r="O155" s="16">
        <f aca="true" t="shared" si="173" ref="O155:U159">IF($D155&lt;O$8,O$12,IF($D155&lt;P$8,P$8-$D155,0))</f>
        <v>0</v>
      </c>
      <c r="P155" s="16">
        <f t="shared" si="173"/>
        <v>44</v>
      </c>
      <c r="Q155" s="16">
        <f t="shared" si="173"/>
        <v>92</v>
      </c>
      <c r="R155" s="16">
        <f t="shared" si="173"/>
        <v>92</v>
      </c>
      <c r="S155" s="16">
        <f t="shared" si="173"/>
        <v>90</v>
      </c>
      <c r="T155" s="16">
        <f t="shared" si="173"/>
        <v>91</v>
      </c>
      <c r="U155" s="16">
        <f t="shared" si="173"/>
        <v>0</v>
      </c>
      <c r="V155" s="106">
        <f t="shared" si="169"/>
        <v>0</v>
      </c>
      <c r="W155" s="141">
        <f t="shared" si="170"/>
        <v>0</v>
      </c>
      <c r="X155" s="63">
        <f>($L155+SUM($W155:W155))*(P$11*P155)</f>
        <v>18.007452054794523</v>
      </c>
      <c r="Y155" s="63">
        <f>($L155+SUM($W155:X155))*(Q$11*Q155)</f>
        <v>39.323237686139976</v>
      </c>
      <c r="Z155" s="63">
        <f>($L155+SUM($W155:Y155))*(R$11*R155)</f>
        <v>42.26420844561836</v>
      </c>
      <c r="AA155" s="63">
        <f>($L155+SUM($W155:Z155))*(S$11*S155)</f>
        <v>44.44177384072564</v>
      </c>
      <c r="AB155" s="63">
        <f>($L155+SUM($W155:AA155))*(T$11*T155)</f>
        <v>46.60279210258878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190.63946412986726</v>
      </c>
    </row>
    <row r="156" spans="1:31" ht="12.75">
      <c r="A156" s="3">
        <v>5</v>
      </c>
      <c r="B156" s="15">
        <f t="shared" si="163"/>
        <v>42856</v>
      </c>
      <c r="C156" s="243">
        <f t="shared" si="167"/>
        <v>42891</v>
      </c>
      <c r="D156" s="243">
        <f t="shared" si="167"/>
        <v>42906</v>
      </c>
      <c r="E156" s="148" t="s">
        <v>218</v>
      </c>
      <c r="F156" s="3">
        <v>9</v>
      </c>
      <c r="G156" s="359">
        <f>+'[2]Load WS'!$I$22</f>
        <v>117</v>
      </c>
      <c r="H156" s="246">
        <f t="shared" si="168"/>
        <v>1623.7</v>
      </c>
      <c r="I156" s="246">
        <f t="shared" si="162"/>
        <v>1666.38</v>
      </c>
      <c r="J156" s="56">
        <f t="shared" si="164"/>
        <v>194966.46000000002</v>
      </c>
      <c r="K156" s="57">
        <f t="shared" si="140"/>
        <v>189972.9</v>
      </c>
      <c r="L156" s="58">
        <f t="shared" si="171"/>
        <v>4993.560000000027</v>
      </c>
      <c r="M156" s="55">
        <f t="shared" si="142"/>
        <v>206.61017870703748</v>
      </c>
      <c r="N156" s="29">
        <f t="shared" si="172"/>
        <v>5200.170178707064</v>
      </c>
      <c r="O156" s="16">
        <f t="shared" si="173"/>
        <v>0</v>
      </c>
      <c r="P156" s="16">
        <f t="shared" si="173"/>
        <v>11</v>
      </c>
      <c r="Q156" s="16">
        <f t="shared" si="173"/>
        <v>92</v>
      </c>
      <c r="R156" s="16">
        <f t="shared" si="173"/>
        <v>92</v>
      </c>
      <c r="S156" s="16">
        <f t="shared" si="173"/>
        <v>90</v>
      </c>
      <c r="T156" s="16">
        <f t="shared" si="173"/>
        <v>91</v>
      </c>
      <c r="U156" s="16">
        <f t="shared" si="173"/>
        <v>0</v>
      </c>
      <c r="V156" s="106">
        <f t="shared" si="169"/>
        <v>0</v>
      </c>
      <c r="W156" s="141">
        <f t="shared" si="170"/>
        <v>0</v>
      </c>
      <c r="X156" s="63">
        <f>($L156+SUM($W156:W156))*(P$11*P156)</f>
        <v>5.267179726027426</v>
      </c>
      <c r="Y156" s="63">
        <f>($L156+SUM($W156:X156))*(Q$11*Q156)</f>
        <v>45.86321221771673</v>
      </c>
      <c r="Z156" s="63">
        <f>($L156+SUM($W156:Y156))*(R$11*R156)</f>
        <v>49.29330531291467</v>
      </c>
      <c r="AA156" s="63">
        <f>($L156+SUM($W156:Z156))*(S$11*S156)</f>
        <v>51.83302863455159</v>
      </c>
      <c r="AB156" s="63">
        <f>($L156+SUM($W156:AA156))*(T$11*T156)</f>
        <v>54.35345281582707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206.61017870703748</v>
      </c>
    </row>
    <row r="157" spans="1:31" ht="12.75">
      <c r="A157" s="3">
        <v>6</v>
      </c>
      <c r="B157" s="15">
        <f t="shared" si="163"/>
        <v>42887</v>
      </c>
      <c r="C157" s="243">
        <f t="shared" si="167"/>
        <v>42922</v>
      </c>
      <c r="D157" s="243">
        <f t="shared" si="167"/>
        <v>42937</v>
      </c>
      <c r="E157" s="148" t="s">
        <v>218</v>
      </c>
      <c r="F157" s="3">
        <v>9</v>
      </c>
      <c r="G157" s="359">
        <f>+'[2]Load WS'!$J$22</f>
        <v>138</v>
      </c>
      <c r="H157" s="246">
        <f t="shared" si="168"/>
        <v>1623.7</v>
      </c>
      <c r="I157" s="246">
        <f t="shared" si="162"/>
        <v>1666.38</v>
      </c>
      <c r="J157" s="56">
        <f t="shared" si="164"/>
        <v>229960.44</v>
      </c>
      <c r="K157" s="57">
        <f t="shared" si="140"/>
        <v>224070.6</v>
      </c>
      <c r="L157" s="77">
        <f t="shared" si="171"/>
        <v>5889.8399999999965</v>
      </c>
      <c r="M157" s="78">
        <f t="shared" si="142"/>
        <v>225.12178810797684</v>
      </c>
      <c r="N157" s="76">
        <f t="shared" si="172"/>
        <v>6114.961788107973</v>
      </c>
      <c r="O157" s="16">
        <f t="shared" si="173"/>
        <v>0</v>
      </c>
      <c r="P157" s="16">
        <f t="shared" si="173"/>
        <v>0</v>
      </c>
      <c r="Q157" s="16">
        <f t="shared" si="173"/>
        <v>72</v>
      </c>
      <c r="R157" s="16">
        <f t="shared" si="173"/>
        <v>92</v>
      </c>
      <c r="S157" s="16">
        <f t="shared" si="173"/>
        <v>90</v>
      </c>
      <c r="T157" s="16">
        <f t="shared" si="173"/>
        <v>91</v>
      </c>
      <c r="U157" s="16">
        <f t="shared" si="173"/>
        <v>0</v>
      </c>
      <c r="V157" s="106">
        <f t="shared" si="169"/>
        <v>0</v>
      </c>
      <c r="W157" s="141">
        <f t="shared" si="170"/>
        <v>0</v>
      </c>
      <c r="X157" s="63">
        <f>($L157+SUM($W157:W157))*(P$11*P157)</f>
        <v>0</v>
      </c>
      <c r="Y157" s="63">
        <f>($L157+SUM($W157:X157))*(Q$11*Q157)</f>
        <v>42.29066485479449</v>
      </c>
      <c r="Z157" s="63">
        <f>($L157+SUM($W157:Y157))*(R$11*R157)</f>
        <v>57.964771928475166</v>
      </c>
      <c r="AA157" s="63">
        <f>($L157+SUM($W157:Z157))*(S$11*S157)</f>
        <v>60.95127247181657</v>
      </c>
      <c r="AB157" s="63">
        <f>($L157+SUM($W157:AA157))*(T$11*T157)</f>
        <v>63.9150788528906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225.12178810797684</v>
      </c>
    </row>
    <row r="158" spans="1:31" ht="12.75">
      <c r="A158" s="16">
        <v>7</v>
      </c>
      <c r="B158" s="15">
        <f t="shared" si="163"/>
        <v>42917</v>
      </c>
      <c r="C158" s="243">
        <f t="shared" si="167"/>
        <v>42950</v>
      </c>
      <c r="D158" s="243">
        <f t="shared" si="167"/>
        <v>42965</v>
      </c>
      <c r="E158" s="148" t="s">
        <v>218</v>
      </c>
      <c r="F158" s="3">
        <v>9</v>
      </c>
      <c r="G158" s="359">
        <f>+'[2]Load WS'!$K$22</f>
        <v>152</v>
      </c>
      <c r="H158" s="246">
        <f aca="true" t="shared" si="174" ref="H158:H163">$K$8</f>
        <v>1651.41</v>
      </c>
      <c r="I158" s="246">
        <f t="shared" si="162"/>
        <v>1666.38</v>
      </c>
      <c r="J158" s="56">
        <f t="shared" si="164"/>
        <v>253289.76</v>
      </c>
      <c r="K158" s="74">
        <f t="shared" si="140"/>
        <v>251014.32</v>
      </c>
      <c r="L158" s="77">
        <f t="shared" si="171"/>
        <v>2275.4400000000023</v>
      </c>
      <c r="M158" s="75">
        <f t="shared" si="142"/>
        <v>80.4223896852719</v>
      </c>
      <c r="N158" s="76">
        <f t="shared" si="172"/>
        <v>2355.862389685274</v>
      </c>
      <c r="O158" s="16">
        <f t="shared" si="173"/>
        <v>0</v>
      </c>
      <c r="P158" s="16">
        <f t="shared" si="173"/>
        <v>0</v>
      </c>
      <c r="Q158" s="16">
        <f t="shared" si="173"/>
        <v>44</v>
      </c>
      <c r="R158" s="16">
        <f t="shared" si="173"/>
        <v>92</v>
      </c>
      <c r="S158" s="16">
        <f t="shared" si="173"/>
        <v>90</v>
      </c>
      <c r="T158" s="16">
        <f t="shared" si="173"/>
        <v>91</v>
      </c>
      <c r="U158" s="16">
        <f t="shared" si="173"/>
        <v>0</v>
      </c>
      <c r="V158" s="106">
        <f t="shared" si="169"/>
        <v>0</v>
      </c>
      <c r="W158" s="141">
        <f t="shared" si="170"/>
        <v>0</v>
      </c>
      <c r="X158" s="63">
        <f>($L158+SUM($W158:W158))*(P$11*P158)</f>
        <v>0</v>
      </c>
      <c r="Y158" s="63">
        <f>($L158+SUM($W158:X158))*(Q$11*Q158)</f>
        <v>9.984506038356173</v>
      </c>
      <c r="Z158" s="63">
        <f>($L158+SUM($W158:Y158))*(R$11*R158)</f>
        <v>22.331623785212802</v>
      </c>
      <c r="AA158" s="63">
        <f>($L158+SUM($W158:Z158))*(S$11*S158)</f>
        <v>23.482208948396558</v>
      </c>
      <c r="AB158" s="63">
        <f>($L158+SUM($W158:AA158))*(T$11*T158)</f>
        <v>24.624050913306355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80.4223896852719</v>
      </c>
    </row>
    <row r="159" spans="1:34" ht="12.75">
      <c r="A159" s="3">
        <v>8</v>
      </c>
      <c r="B159" s="15">
        <f t="shared" si="163"/>
        <v>42948</v>
      </c>
      <c r="C159" s="243">
        <f t="shared" si="167"/>
        <v>42984</v>
      </c>
      <c r="D159" s="243">
        <f t="shared" si="167"/>
        <v>42999</v>
      </c>
      <c r="E159" s="148" t="s">
        <v>218</v>
      </c>
      <c r="F159" s="16">
        <v>9</v>
      </c>
      <c r="G159" s="359">
        <f>+'[2]Load WS'!$L$22</f>
        <v>138</v>
      </c>
      <c r="H159" s="246">
        <f t="shared" si="174"/>
        <v>1651.41</v>
      </c>
      <c r="I159" s="246">
        <f t="shared" si="162"/>
        <v>1666.38</v>
      </c>
      <c r="J159" s="56">
        <f t="shared" si="164"/>
        <v>229960.44</v>
      </c>
      <c r="K159" s="74">
        <f t="shared" si="140"/>
        <v>227894.58000000002</v>
      </c>
      <c r="L159" s="77">
        <f t="shared" si="171"/>
        <v>2065.859999999986</v>
      </c>
      <c r="M159" s="75">
        <f t="shared" si="142"/>
        <v>65.7944963252699</v>
      </c>
      <c r="N159" s="76">
        <f t="shared" si="172"/>
        <v>2131.654496325256</v>
      </c>
      <c r="O159" s="16">
        <f t="shared" si="173"/>
        <v>0</v>
      </c>
      <c r="P159" s="16">
        <f t="shared" si="173"/>
        <v>0</v>
      </c>
      <c r="Q159" s="16">
        <f t="shared" si="173"/>
        <v>10</v>
      </c>
      <c r="R159" s="16">
        <f t="shared" si="173"/>
        <v>92</v>
      </c>
      <c r="S159" s="16">
        <f t="shared" si="173"/>
        <v>90</v>
      </c>
      <c r="T159" s="16">
        <f t="shared" si="173"/>
        <v>91</v>
      </c>
      <c r="U159" s="16">
        <f t="shared" si="173"/>
        <v>0</v>
      </c>
      <c r="V159" s="106">
        <f t="shared" si="169"/>
        <v>0</v>
      </c>
      <c r="W159" s="141">
        <f t="shared" si="170"/>
        <v>0</v>
      </c>
      <c r="X159" s="63">
        <f>($L159+SUM($W159:W159))*(P$11*P159)</f>
        <v>0</v>
      </c>
      <c r="Y159" s="63">
        <f>($L159+SUM($W159:X159))*(Q$11*Q159)</f>
        <v>2.060200109589027</v>
      </c>
      <c r="Z159" s="63">
        <f>($L159+SUM($W159:Y159))*(R$11*R159)</f>
        <v>20.20631869688804</v>
      </c>
      <c r="AA159" s="63">
        <f>($L159+SUM($W159:Z159))*(S$11*S159)</f>
        <v>21.24740244067727</v>
      </c>
      <c r="AB159" s="63">
        <f>($L159+SUM($W159:AA159))*(T$11*T159)</f>
        <v>22.280575078115575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65.7944963252699</v>
      </c>
      <c r="AF159" s="13"/>
      <c r="AG159" s="13"/>
      <c r="AH159" s="13"/>
    </row>
    <row r="160" spans="1:31" ht="12.75">
      <c r="A160" s="3">
        <v>9</v>
      </c>
      <c r="B160" s="15">
        <f t="shared" si="163"/>
        <v>42979</v>
      </c>
      <c r="C160" s="243">
        <f t="shared" si="167"/>
        <v>43012</v>
      </c>
      <c r="D160" s="243">
        <f t="shared" si="167"/>
        <v>43027</v>
      </c>
      <c r="E160" s="148" t="s">
        <v>218</v>
      </c>
      <c r="F160" s="16">
        <v>9</v>
      </c>
      <c r="G160" s="359">
        <f>+'[2]Load WS'!$M$22</f>
        <v>142</v>
      </c>
      <c r="H160" s="246">
        <f t="shared" si="174"/>
        <v>1651.41</v>
      </c>
      <c r="I160" s="246">
        <f t="shared" si="162"/>
        <v>1666.38</v>
      </c>
      <c r="J160" s="56">
        <f t="shared" si="164"/>
        <v>236625.96000000002</v>
      </c>
      <c r="K160" s="74">
        <f t="shared" si="140"/>
        <v>234500.22</v>
      </c>
      <c r="L160" s="77">
        <f t="shared" si="171"/>
        <v>2125.74000000002</v>
      </c>
      <c r="M160" s="75">
        <f t="shared" si="142"/>
        <v>61.36766639869705</v>
      </c>
      <c r="N160" s="76">
        <f t="shared" si="172"/>
        <v>2187.107666398717</v>
      </c>
      <c r="O160" s="16">
        <f aca="true" t="shared" si="175" ref="O160:U171">IF($D160&lt;O$8,O$12,IF($D160&lt;P$8,P$8-$D160,0))</f>
        <v>0</v>
      </c>
      <c r="P160" s="16">
        <f t="shared" si="175"/>
        <v>0</v>
      </c>
      <c r="Q160" s="16">
        <f t="shared" si="175"/>
        <v>0</v>
      </c>
      <c r="R160" s="16">
        <f t="shared" si="175"/>
        <v>74</v>
      </c>
      <c r="S160" s="16">
        <f t="shared" si="175"/>
        <v>90</v>
      </c>
      <c r="T160" s="16">
        <f t="shared" si="175"/>
        <v>91</v>
      </c>
      <c r="U160" s="16">
        <f t="shared" si="175"/>
        <v>0</v>
      </c>
      <c r="V160" s="106">
        <f>IF(W$8&lt;V$8,0,IF($D160&lt;V$8,V$12,IF($D160&lt;W$8,W$8-$D160,0)))</f>
        <v>0</v>
      </c>
      <c r="W160" s="141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16.707345742465908</v>
      </c>
      <c r="AA160" s="63">
        <f>($L160+SUM($W160:Z160))*(S$11*S160)</f>
        <v>21.80013545777422</v>
      </c>
      <c r="AB160" s="63">
        <f>($L160+SUM($W160:AA160))*(T$11*T160)</f>
        <v>22.860185198456918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61.36766639869705</v>
      </c>
    </row>
    <row r="161" spans="1:31" ht="12.75">
      <c r="A161" s="16">
        <v>10</v>
      </c>
      <c r="B161" s="15">
        <f t="shared" si="163"/>
        <v>43009</v>
      </c>
      <c r="C161" s="243">
        <f t="shared" si="167"/>
        <v>43042</v>
      </c>
      <c r="D161" s="243">
        <f t="shared" si="167"/>
        <v>43059</v>
      </c>
      <c r="E161" s="148" t="s">
        <v>218</v>
      </c>
      <c r="F161" s="16">
        <v>9</v>
      </c>
      <c r="G161" s="359">
        <f>+'[2]Load WS'!$N$22</f>
        <v>116</v>
      </c>
      <c r="H161" s="246">
        <f t="shared" si="174"/>
        <v>1651.41</v>
      </c>
      <c r="I161" s="246">
        <f t="shared" si="162"/>
        <v>1666.38</v>
      </c>
      <c r="J161" s="56">
        <f t="shared" si="164"/>
        <v>193300.08000000002</v>
      </c>
      <c r="K161" s="74">
        <f t="shared" si="140"/>
        <v>191563.56</v>
      </c>
      <c r="L161" s="77">
        <f t="shared" si="171"/>
        <v>1736.5200000000186</v>
      </c>
      <c r="M161" s="75">
        <f t="shared" si="142"/>
        <v>44.10635645036249</v>
      </c>
      <c r="N161" s="76">
        <f t="shared" si="172"/>
        <v>1780.626356450381</v>
      </c>
      <c r="O161" s="16">
        <f t="shared" si="175"/>
        <v>0</v>
      </c>
      <c r="P161" s="16">
        <f t="shared" si="175"/>
        <v>0</v>
      </c>
      <c r="Q161" s="16">
        <f t="shared" si="175"/>
        <v>0</v>
      </c>
      <c r="R161" s="16">
        <f t="shared" si="175"/>
        <v>42</v>
      </c>
      <c r="S161" s="16">
        <f t="shared" si="175"/>
        <v>90</v>
      </c>
      <c r="T161" s="16">
        <f t="shared" si="175"/>
        <v>91</v>
      </c>
      <c r="U161" s="16">
        <f t="shared" si="175"/>
        <v>0</v>
      </c>
      <c r="V161" s="106">
        <f>IF(W$8&lt;V$8,0,IF($D161&lt;V$8,V$12,IF($D161&lt;W$8,W$8-$D161,0)))</f>
        <v>0</v>
      </c>
      <c r="W161" s="141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7.746306476712411</v>
      </c>
      <c r="AA161" s="63">
        <f>($L161+SUM($W161:Z161))*(S$11*S161)</f>
        <v>17.748507019875557</v>
      </c>
      <c r="AB161" s="63">
        <f>($L161+SUM($W161:AA161))*(T$11*T161)</f>
        <v>18.611542953774524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44.10635645036249</v>
      </c>
    </row>
    <row r="162" spans="1:31" ht="12.75">
      <c r="A162" s="3">
        <v>11</v>
      </c>
      <c r="B162" s="15">
        <f t="shared" si="163"/>
        <v>43040</v>
      </c>
      <c r="C162" s="243">
        <f t="shared" si="167"/>
        <v>43074</v>
      </c>
      <c r="D162" s="243">
        <f t="shared" si="167"/>
        <v>43089</v>
      </c>
      <c r="E162" s="148" t="s">
        <v>218</v>
      </c>
      <c r="F162" s="16">
        <v>9</v>
      </c>
      <c r="G162" s="359">
        <f>+'[2]Load WS'!$O$22</f>
        <v>85</v>
      </c>
      <c r="H162" s="246">
        <f t="shared" si="174"/>
        <v>1651.41</v>
      </c>
      <c r="I162" s="246">
        <f t="shared" si="162"/>
        <v>1666.38</v>
      </c>
      <c r="J162" s="56">
        <f t="shared" si="164"/>
        <v>141642.30000000002</v>
      </c>
      <c r="K162" s="74">
        <f t="shared" si="140"/>
        <v>140369.85</v>
      </c>
      <c r="L162" s="77">
        <f t="shared" si="171"/>
        <v>1272.4500000000116</v>
      </c>
      <c r="M162" s="75">
        <f t="shared" si="142"/>
        <v>28.1803876755434</v>
      </c>
      <c r="N162" s="76">
        <f t="shared" si="172"/>
        <v>1300.630387675555</v>
      </c>
      <c r="O162" s="16">
        <f t="shared" si="175"/>
        <v>0</v>
      </c>
      <c r="P162" s="16">
        <f t="shared" si="175"/>
        <v>0</v>
      </c>
      <c r="Q162" s="16">
        <f t="shared" si="175"/>
        <v>0</v>
      </c>
      <c r="R162" s="16">
        <f t="shared" si="175"/>
        <v>12</v>
      </c>
      <c r="S162" s="16">
        <f t="shared" si="175"/>
        <v>90</v>
      </c>
      <c r="T162" s="16">
        <f t="shared" si="175"/>
        <v>91</v>
      </c>
      <c r="U162" s="16">
        <f t="shared" si="175"/>
        <v>0</v>
      </c>
      <c r="V162" s="106">
        <f>IF(W$8&lt;V$8,0,IF($D162&lt;V$8,V$12,IF($D162&lt;W$8,W$8-$D162,0)))</f>
        <v>0</v>
      </c>
      <c r="W162" s="141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1.6217636712328913</v>
      </c>
      <c r="AA162" s="63">
        <f>($L162+SUM($W162:Z162))*(S$11*S162)</f>
        <v>12.964116521301374</v>
      </c>
      <c r="AB162" s="63">
        <f>($L162+SUM($W162:AA162))*(T$11*T162)</f>
        <v>13.594507483009137</v>
      </c>
      <c r="AC162" s="63">
        <f>($L162+SUM($W162:AB162))*(U$11*U162)</f>
        <v>0</v>
      </c>
      <c r="AD162" s="63">
        <f>($L162+SUM($W162:AC162))*(V$11*V162)</f>
        <v>0</v>
      </c>
      <c r="AE162" s="110">
        <f t="shared" si="166"/>
        <v>28.1803876755434</v>
      </c>
    </row>
    <row r="163" spans="1:31" s="69" customFormat="1" ht="12.75">
      <c r="A163" s="3">
        <v>12</v>
      </c>
      <c r="B163" s="83">
        <f t="shared" si="163"/>
        <v>43070</v>
      </c>
      <c r="C163" s="243">
        <f t="shared" si="167"/>
        <v>43104</v>
      </c>
      <c r="D163" s="243">
        <f t="shared" si="167"/>
        <v>43119</v>
      </c>
      <c r="E163" s="149" t="s">
        <v>218</v>
      </c>
      <c r="F163" s="81">
        <v>9</v>
      </c>
      <c r="G163" s="360">
        <f>+'[2]Load WS'!$P$22</f>
        <v>108</v>
      </c>
      <c r="H163" s="247">
        <f t="shared" si="174"/>
        <v>1651.41</v>
      </c>
      <c r="I163" s="247">
        <f t="shared" si="162"/>
        <v>1666.38</v>
      </c>
      <c r="J163" s="85">
        <f t="shared" si="164"/>
        <v>179969.04</v>
      </c>
      <c r="K163" s="86">
        <f t="shared" si="140"/>
        <v>178352.28</v>
      </c>
      <c r="L163" s="87">
        <f t="shared" si="171"/>
        <v>1616.7600000000093</v>
      </c>
      <c r="M163" s="88">
        <f t="shared" si="142"/>
        <v>30.37715041366709</v>
      </c>
      <c r="N163" s="89">
        <f t="shared" si="172"/>
        <v>1647.1371504136764</v>
      </c>
      <c r="O163" s="81">
        <f t="shared" si="175"/>
        <v>0</v>
      </c>
      <c r="P163" s="81">
        <f t="shared" si="175"/>
        <v>0</v>
      </c>
      <c r="Q163" s="81">
        <f t="shared" si="175"/>
        <v>0</v>
      </c>
      <c r="R163" s="81">
        <f t="shared" si="175"/>
        <v>0</v>
      </c>
      <c r="S163" s="81">
        <f t="shared" si="175"/>
        <v>72</v>
      </c>
      <c r="T163" s="81">
        <f t="shared" si="175"/>
        <v>91</v>
      </c>
      <c r="U163" s="81">
        <f t="shared" si="175"/>
        <v>0</v>
      </c>
      <c r="V163" s="107">
        <f>IF(W$8&lt;V$8,0,IF($D163&lt;V$8,V$12,IF($D163&lt;W$8,W$8-$D163,0)))</f>
        <v>0</v>
      </c>
      <c r="W163" s="142">
        <f>$L163*O$11*O163</f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13.160869347945281</v>
      </c>
      <c r="AB163" s="90">
        <f>($L163+SUM($W163:AA163))*(T$11*T163)</f>
        <v>17.216281065721805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66"/>
        <v>30.37715041366709</v>
      </c>
    </row>
    <row r="164" spans="1:31" ht="12.75">
      <c r="A164" s="16">
        <v>1</v>
      </c>
      <c r="B164" s="15">
        <f t="shared" si="163"/>
        <v>42736</v>
      </c>
      <c r="C164" s="242">
        <f t="shared" si="167"/>
        <v>42769</v>
      </c>
      <c r="D164" s="242">
        <f t="shared" si="167"/>
        <v>42786</v>
      </c>
      <c r="E164" s="117" t="s">
        <v>219</v>
      </c>
      <c r="F164" s="16">
        <v>9</v>
      </c>
      <c r="G164" s="359">
        <f>+'[2]Load WS'!$E$23</f>
        <v>11</v>
      </c>
      <c r="H164" s="246">
        <f aca="true" t="shared" si="176" ref="H164:H169">$K$3</f>
        <v>1623.7</v>
      </c>
      <c r="I164" s="246">
        <f t="shared" si="162"/>
        <v>1666.38</v>
      </c>
      <c r="J164" s="56">
        <f t="shared" si="164"/>
        <v>18330.18</v>
      </c>
      <c r="K164" s="57">
        <f t="shared" si="140"/>
        <v>17860.7</v>
      </c>
      <c r="L164" s="58">
        <f t="shared" si="171"/>
        <v>469.47999999999956</v>
      </c>
      <c r="M164" s="55">
        <f t="shared" si="142"/>
        <v>25.061061971152697</v>
      </c>
      <c r="N164" s="29">
        <f t="shared" si="172"/>
        <v>494.54106197115226</v>
      </c>
      <c r="O164" s="16">
        <f t="shared" si="175"/>
        <v>40</v>
      </c>
      <c r="P164" s="16">
        <f t="shared" si="175"/>
        <v>91</v>
      </c>
      <c r="Q164" s="16">
        <f t="shared" si="175"/>
        <v>92</v>
      </c>
      <c r="R164" s="16">
        <f t="shared" si="175"/>
        <v>92</v>
      </c>
      <c r="S164" s="16">
        <f t="shared" si="175"/>
        <v>90</v>
      </c>
      <c r="T164" s="16">
        <f t="shared" si="175"/>
        <v>91</v>
      </c>
      <c r="U164" s="16">
        <f t="shared" si="175"/>
        <v>0</v>
      </c>
      <c r="V164" s="106">
        <f aca="true" t="shared" si="177" ref="V164:V171">IF(W$8&lt;V$8,0,IF($D164&lt;V$8,V$12,IF($D164&lt;W$8,W$8-$D164,0)))</f>
        <v>0</v>
      </c>
      <c r="W164" s="141">
        <f aca="true" t="shared" si="178" ref="W164:W171">$L164*O$11*O164</f>
        <v>1.8007452054794506</v>
      </c>
      <c r="X164" s="63">
        <f>($L164+SUM($W164:W164))*(P$11*P164)</f>
        <v>4.112408694464249</v>
      </c>
      <c r="Y164" s="63">
        <f>($L164+SUM($W164:X164))*(Q$11*Q164)</f>
        <v>4.361634503507204</v>
      </c>
      <c r="Z164" s="63">
        <f>($L164+SUM($W164:Y164))*(R$11*R164)</f>
        <v>4.6878395744306465</v>
      </c>
      <c r="AA164" s="63">
        <f>($L164+SUM($W164:Z164))*(S$11*S164)</f>
        <v>4.929369644684521</v>
      </c>
      <c r="AB164" s="63">
        <f>($L164+SUM($W164:AA164))*(T$11*T164)</f>
        <v>5.169064348586627</v>
      </c>
      <c r="AC164" s="63">
        <f>($L164+SUM($W164:AB164))*(U$11*U164)</f>
        <v>0</v>
      </c>
      <c r="AD164" s="63">
        <f>($L164+SUM($W164:AC164))*(V$11*V164)</f>
        <v>0</v>
      </c>
      <c r="AE164" s="110">
        <f aca="true" t="shared" si="179" ref="AE164:AE175">SUM(W164:AD164)</f>
        <v>25.061061971152697</v>
      </c>
    </row>
    <row r="165" spans="1:31" ht="12.75">
      <c r="A165" s="3">
        <v>2</v>
      </c>
      <c r="B165" s="15">
        <f t="shared" si="163"/>
        <v>42767</v>
      </c>
      <c r="C165" s="243">
        <f t="shared" si="167"/>
        <v>42797</v>
      </c>
      <c r="D165" s="243">
        <f t="shared" si="167"/>
        <v>42814</v>
      </c>
      <c r="E165" s="148" t="s">
        <v>219</v>
      </c>
      <c r="F165" s="3">
        <v>9</v>
      </c>
      <c r="G165" s="359">
        <f>+'[2]Load WS'!$F$23</f>
        <v>10</v>
      </c>
      <c r="H165" s="246">
        <f t="shared" si="176"/>
        <v>1623.7</v>
      </c>
      <c r="I165" s="246">
        <f t="shared" si="162"/>
        <v>1666.38</v>
      </c>
      <c r="J165" s="56">
        <f t="shared" si="164"/>
        <v>16663.800000000003</v>
      </c>
      <c r="K165" s="57">
        <f t="shared" si="140"/>
        <v>16237</v>
      </c>
      <c r="L165" s="58">
        <f t="shared" si="171"/>
        <v>426.8000000000029</v>
      </c>
      <c r="M165" s="55">
        <f t="shared" si="142"/>
        <v>21.580296907251604</v>
      </c>
      <c r="N165" s="29">
        <f t="shared" si="172"/>
        <v>448.3802969072545</v>
      </c>
      <c r="O165" s="16">
        <f t="shared" si="175"/>
        <v>12</v>
      </c>
      <c r="P165" s="16">
        <f t="shared" si="175"/>
        <v>91</v>
      </c>
      <c r="Q165" s="16">
        <f t="shared" si="175"/>
        <v>92</v>
      </c>
      <c r="R165" s="16">
        <f t="shared" si="175"/>
        <v>92</v>
      </c>
      <c r="S165" s="16">
        <f t="shared" si="175"/>
        <v>90</v>
      </c>
      <c r="T165" s="16">
        <f t="shared" si="175"/>
        <v>91</v>
      </c>
      <c r="U165" s="16">
        <f t="shared" si="175"/>
        <v>0</v>
      </c>
      <c r="V165" s="106">
        <f t="shared" si="177"/>
        <v>0</v>
      </c>
      <c r="W165" s="141">
        <f t="shared" si="178"/>
        <v>0.4911123287671266</v>
      </c>
      <c r="X165" s="63">
        <f>($L165+SUM($W165:W165))*(P$11*P165)</f>
        <v>3.728553952786665</v>
      </c>
      <c r="Y165" s="63">
        <f>($L165+SUM($W165:X165))*(Q$11*Q165)</f>
        <v>3.9545168724484294</v>
      </c>
      <c r="Z165" s="63">
        <f>($L165+SUM($W165:Y165))*(R$11*R165)</f>
        <v>4.2502737626251985</v>
      </c>
      <c r="AA165" s="63">
        <f>($L165+SUM($W165:Z165))*(S$11*S165)</f>
        <v>4.469259268461274</v>
      </c>
      <c r="AB165" s="63">
        <f>($L165+SUM($W165:AA165))*(T$11*T165)</f>
        <v>4.686580722162912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9"/>
        <v>21.580296907251604</v>
      </c>
    </row>
    <row r="166" spans="1:31" ht="12.75">
      <c r="A166" s="3">
        <v>3</v>
      </c>
      <c r="B166" s="15">
        <f t="shared" si="163"/>
        <v>42795</v>
      </c>
      <c r="C166" s="243">
        <f t="shared" si="167"/>
        <v>42830</v>
      </c>
      <c r="D166" s="243">
        <f t="shared" si="167"/>
        <v>42845</v>
      </c>
      <c r="E166" s="148" t="s">
        <v>219</v>
      </c>
      <c r="F166" s="3">
        <v>9</v>
      </c>
      <c r="G166" s="359">
        <f>+'[2]Load WS'!$G$23</f>
        <v>8</v>
      </c>
      <c r="H166" s="246">
        <f t="shared" si="176"/>
        <v>1623.7</v>
      </c>
      <c r="I166" s="246">
        <f t="shared" si="162"/>
        <v>1666.38</v>
      </c>
      <c r="J166" s="56">
        <f t="shared" si="164"/>
        <v>13331.04</v>
      </c>
      <c r="K166" s="57">
        <f t="shared" si="140"/>
        <v>12989.6</v>
      </c>
      <c r="L166" s="58">
        <f>+J166-K166</f>
        <v>341.4400000000005</v>
      </c>
      <c r="M166" s="55">
        <f t="shared" si="142"/>
        <v>16.20482476281092</v>
      </c>
      <c r="N166" s="29">
        <f>SUM(L166:M166)</f>
        <v>357.6448247628114</v>
      </c>
      <c r="O166" s="16">
        <f t="shared" si="175"/>
        <v>0</v>
      </c>
      <c r="P166" s="16">
        <f t="shared" si="175"/>
        <v>72</v>
      </c>
      <c r="Q166" s="16">
        <f t="shared" si="175"/>
        <v>92</v>
      </c>
      <c r="R166" s="16">
        <f t="shared" si="175"/>
        <v>92</v>
      </c>
      <c r="S166" s="16">
        <f t="shared" si="175"/>
        <v>90</v>
      </c>
      <c r="T166" s="16">
        <f t="shared" si="175"/>
        <v>91</v>
      </c>
      <c r="U166" s="16">
        <f t="shared" si="175"/>
        <v>0</v>
      </c>
      <c r="V166" s="106">
        <f t="shared" si="177"/>
        <v>0</v>
      </c>
      <c r="W166" s="141">
        <f t="shared" si="178"/>
        <v>0</v>
      </c>
      <c r="X166" s="63">
        <f>($L166+SUM($W166:W166))*(P$11*P166)</f>
        <v>2.3573391780821957</v>
      </c>
      <c r="Y166" s="63">
        <f>($L166+SUM($W166:X166))*(Q$11*Q166)</f>
        <v>3.154269943670036</v>
      </c>
      <c r="Z166" s="63">
        <f>($L166+SUM($W166:Y166))*(R$11*R166)</f>
        <v>3.3901766547571737</v>
      </c>
      <c r="AA166" s="63">
        <f>($L166+SUM($W166:Z166))*(S$11*S166)</f>
        <v>3.5648476503396105</v>
      </c>
      <c r="AB166" s="63">
        <f>($L166+SUM($W166:AA166))*(T$11*T166)</f>
        <v>3.7381913359619032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9"/>
        <v>16.20482476281092</v>
      </c>
    </row>
    <row r="167" spans="1:31" ht="12.75">
      <c r="A167" s="16">
        <v>4</v>
      </c>
      <c r="B167" s="15">
        <f t="shared" si="163"/>
        <v>42826</v>
      </c>
      <c r="C167" s="243">
        <f t="shared" si="167"/>
        <v>42858</v>
      </c>
      <c r="D167" s="243">
        <f t="shared" si="167"/>
        <v>42873</v>
      </c>
      <c r="E167" s="148" t="s">
        <v>219</v>
      </c>
      <c r="F167" s="3">
        <v>9</v>
      </c>
      <c r="G167" s="359">
        <f>+'[2]Load WS'!$H$23</f>
        <v>9</v>
      </c>
      <c r="H167" s="246">
        <f t="shared" si="176"/>
        <v>1623.7</v>
      </c>
      <c r="I167" s="246">
        <f t="shared" si="162"/>
        <v>1666.38</v>
      </c>
      <c r="J167" s="56">
        <f t="shared" si="164"/>
        <v>14997.420000000002</v>
      </c>
      <c r="K167" s="57">
        <f t="shared" si="140"/>
        <v>14613.300000000001</v>
      </c>
      <c r="L167" s="58">
        <f aca="true" t="shared" si="180" ref="L167:L177">+J167-K167</f>
        <v>384.1200000000008</v>
      </c>
      <c r="M167" s="55">
        <f t="shared" si="142"/>
        <v>17.15755177168809</v>
      </c>
      <c r="N167" s="29">
        <f aca="true" t="shared" si="181" ref="N167:N177">SUM(L167:M167)</f>
        <v>401.2775517716889</v>
      </c>
      <c r="O167" s="16">
        <f t="shared" si="175"/>
        <v>0</v>
      </c>
      <c r="P167" s="16">
        <f t="shared" si="175"/>
        <v>44</v>
      </c>
      <c r="Q167" s="16">
        <f t="shared" si="175"/>
        <v>92</v>
      </c>
      <c r="R167" s="16">
        <f t="shared" si="175"/>
        <v>92</v>
      </c>
      <c r="S167" s="16">
        <f t="shared" si="175"/>
        <v>90</v>
      </c>
      <c r="T167" s="16">
        <f t="shared" si="175"/>
        <v>91</v>
      </c>
      <c r="U167" s="16">
        <f t="shared" si="175"/>
        <v>0</v>
      </c>
      <c r="V167" s="106">
        <f t="shared" si="177"/>
        <v>0</v>
      </c>
      <c r="W167" s="141">
        <f t="shared" si="178"/>
        <v>0</v>
      </c>
      <c r="X167" s="63">
        <f>($L167+SUM($W167:W167))*(P$11*P167)</f>
        <v>1.6206706849315105</v>
      </c>
      <c r="Y167" s="63">
        <f>($L167+SUM($W167:X167))*(Q$11*Q167)</f>
        <v>3.5390913917526055</v>
      </c>
      <c r="Z167" s="63">
        <f>($L167+SUM($W167:Y167))*(R$11*R167)</f>
        <v>3.8037787601056596</v>
      </c>
      <c r="AA167" s="63">
        <f>($L167+SUM($W167:Z167))*(S$11*S167)</f>
        <v>3.9997596456653155</v>
      </c>
      <c r="AB167" s="63">
        <f>($L167+SUM($W167:AA167))*(T$11*T167)</f>
        <v>4.194251289232999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9"/>
        <v>17.15755177168809</v>
      </c>
    </row>
    <row r="168" spans="1:31" ht="12.75">
      <c r="A168" s="3">
        <v>5</v>
      </c>
      <c r="B168" s="15">
        <f t="shared" si="163"/>
        <v>42856</v>
      </c>
      <c r="C168" s="243">
        <f t="shared" si="167"/>
        <v>42891</v>
      </c>
      <c r="D168" s="243">
        <f t="shared" si="167"/>
        <v>42906</v>
      </c>
      <c r="E168" s="148" t="s">
        <v>219</v>
      </c>
      <c r="F168" s="3">
        <v>9</v>
      </c>
      <c r="G168" s="359">
        <f>+'[2]Load WS'!$I$23</f>
        <v>7</v>
      </c>
      <c r="H168" s="246">
        <f t="shared" si="176"/>
        <v>1623.7</v>
      </c>
      <c r="I168" s="246">
        <f t="shared" si="162"/>
        <v>1666.38</v>
      </c>
      <c r="J168" s="56">
        <f t="shared" si="164"/>
        <v>11664.66</v>
      </c>
      <c r="K168" s="57">
        <f t="shared" si="140"/>
        <v>11365.9</v>
      </c>
      <c r="L168" s="58">
        <f t="shared" si="180"/>
        <v>298.7600000000002</v>
      </c>
      <c r="M168" s="55">
        <f t="shared" si="142"/>
        <v>12.361292743156032</v>
      </c>
      <c r="N168" s="29">
        <f t="shared" si="181"/>
        <v>311.12129274315623</v>
      </c>
      <c r="O168" s="16">
        <f t="shared" si="175"/>
        <v>0</v>
      </c>
      <c r="P168" s="16">
        <f t="shared" si="175"/>
        <v>11</v>
      </c>
      <c r="Q168" s="16">
        <f t="shared" si="175"/>
        <v>92</v>
      </c>
      <c r="R168" s="16">
        <f t="shared" si="175"/>
        <v>92</v>
      </c>
      <c r="S168" s="16">
        <f t="shared" si="175"/>
        <v>90</v>
      </c>
      <c r="T168" s="16">
        <f t="shared" si="175"/>
        <v>91</v>
      </c>
      <c r="U168" s="16">
        <f t="shared" si="175"/>
        <v>0</v>
      </c>
      <c r="V168" s="106">
        <f t="shared" si="177"/>
        <v>0</v>
      </c>
      <c r="W168" s="141">
        <f t="shared" si="178"/>
        <v>0</v>
      </c>
      <c r="X168" s="63">
        <f>($L168+SUM($W168:W168))*(P$11*P168)</f>
        <v>0.31513041095890443</v>
      </c>
      <c r="Y168" s="63">
        <f>($L168+SUM($W168:X168))*(Q$11*Q168)</f>
        <v>2.743952867726629</v>
      </c>
      <c r="Z168" s="63">
        <f>($L168+SUM($W168:Y168))*(R$11*R168)</f>
        <v>2.949172112738471</v>
      </c>
      <c r="AA168" s="63">
        <f>($L168+SUM($W168:Z168))*(S$11*S168)</f>
        <v>3.101121371297944</v>
      </c>
      <c r="AB168" s="63">
        <f>($L168+SUM($W168:AA168))*(T$11*T168)</f>
        <v>3.2519159804340827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9"/>
        <v>12.361292743156032</v>
      </c>
    </row>
    <row r="169" spans="1:31" ht="12.75">
      <c r="A169" s="3">
        <v>6</v>
      </c>
      <c r="B169" s="15">
        <f t="shared" si="163"/>
        <v>42887</v>
      </c>
      <c r="C169" s="243">
        <f t="shared" si="167"/>
        <v>42922</v>
      </c>
      <c r="D169" s="243">
        <f t="shared" si="167"/>
        <v>42937</v>
      </c>
      <c r="E169" s="148" t="s">
        <v>219</v>
      </c>
      <c r="F169" s="3">
        <v>9</v>
      </c>
      <c r="G169" s="359">
        <f>+'[2]Load WS'!$J$23</f>
        <v>13</v>
      </c>
      <c r="H169" s="246">
        <f t="shared" si="176"/>
        <v>1623.7</v>
      </c>
      <c r="I169" s="246">
        <f t="shared" si="162"/>
        <v>1666.38</v>
      </c>
      <c r="J169" s="56">
        <f t="shared" si="164"/>
        <v>21662.940000000002</v>
      </c>
      <c r="K169" s="57">
        <f t="shared" si="140"/>
        <v>21108.100000000002</v>
      </c>
      <c r="L169" s="77">
        <f t="shared" si="180"/>
        <v>554.8400000000001</v>
      </c>
      <c r="M169" s="78">
        <f t="shared" si="142"/>
        <v>21.20712496669349</v>
      </c>
      <c r="N169" s="76">
        <f t="shared" si="181"/>
        <v>576.0471249666937</v>
      </c>
      <c r="O169" s="16">
        <f t="shared" si="175"/>
        <v>0</v>
      </c>
      <c r="P169" s="16">
        <f t="shared" si="175"/>
        <v>0</v>
      </c>
      <c r="Q169" s="16">
        <f t="shared" si="175"/>
        <v>72</v>
      </c>
      <c r="R169" s="16">
        <f t="shared" si="175"/>
        <v>92</v>
      </c>
      <c r="S169" s="16">
        <f t="shared" si="175"/>
        <v>90</v>
      </c>
      <c r="T169" s="16">
        <f t="shared" si="175"/>
        <v>91</v>
      </c>
      <c r="U169" s="16">
        <f t="shared" si="175"/>
        <v>0</v>
      </c>
      <c r="V169" s="106">
        <f t="shared" si="177"/>
        <v>0</v>
      </c>
      <c r="W169" s="141">
        <f t="shared" si="178"/>
        <v>0</v>
      </c>
      <c r="X169" s="63">
        <f>($L169+SUM($W169:W169))*(P$11*P169)</f>
        <v>0</v>
      </c>
      <c r="Y169" s="63">
        <f>($L169+SUM($W169:X169))*(Q$11*Q169)</f>
        <v>3.9839032109589048</v>
      </c>
      <c r="Z169" s="63">
        <f>($L169+SUM($W169:Y169))*(R$11*R169)</f>
        <v>5.460449529494043</v>
      </c>
      <c r="AA169" s="63">
        <f>($L169+SUM($W169:Z169))*(S$11*S169)</f>
        <v>5.741786537200117</v>
      </c>
      <c r="AB169" s="63">
        <f>($L169+SUM($W169:AA169))*(T$11*T169)</f>
        <v>6.020985689040424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9"/>
        <v>21.20712496669349</v>
      </c>
    </row>
    <row r="170" spans="1:31" ht="12.75">
      <c r="A170" s="16">
        <v>7</v>
      </c>
      <c r="B170" s="15">
        <f t="shared" si="163"/>
        <v>42917</v>
      </c>
      <c r="C170" s="243">
        <f t="shared" si="167"/>
        <v>42950</v>
      </c>
      <c r="D170" s="243">
        <f t="shared" si="167"/>
        <v>42965</v>
      </c>
      <c r="E170" s="148" t="s">
        <v>219</v>
      </c>
      <c r="F170" s="3">
        <v>9</v>
      </c>
      <c r="G170" s="359">
        <f>+'[2]Load WS'!$K$23</f>
        <v>15</v>
      </c>
      <c r="H170" s="246">
        <f aca="true" t="shared" si="182" ref="H170:H175">$K$8</f>
        <v>1651.41</v>
      </c>
      <c r="I170" s="246">
        <f t="shared" si="162"/>
        <v>1666.38</v>
      </c>
      <c r="J170" s="56">
        <f t="shared" si="164"/>
        <v>24995.7</v>
      </c>
      <c r="K170" s="74">
        <f t="shared" si="140"/>
        <v>24771.15</v>
      </c>
      <c r="L170" s="77">
        <f t="shared" si="180"/>
        <v>224.54999999999927</v>
      </c>
      <c r="M170" s="75">
        <f t="shared" si="142"/>
        <v>7.9364200347307445</v>
      </c>
      <c r="N170" s="76">
        <f t="shared" si="181"/>
        <v>232.48642003473003</v>
      </c>
      <c r="O170" s="16">
        <f t="shared" si="175"/>
        <v>0</v>
      </c>
      <c r="P170" s="16">
        <f t="shared" si="175"/>
        <v>0</v>
      </c>
      <c r="Q170" s="16">
        <f t="shared" si="175"/>
        <v>44</v>
      </c>
      <c r="R170" s="16">
        <f t="shared" si="175"/>
        <v>92</v>
      </c>
      <c r="S170" s="16">
        <f t="shared" si="175"/>
        <v>90</v>
      </c>
      <c r="T170" s="16">
        <f t="shared" si="175"/>
        <v>91</v>
      </c>
      <c r="U170" s="16">
        <f t="shared" si="175"/>
        <v>0</v>
      </c>
      <c r="V170" s="106">
        <f t="shared" si="177"/>
        <v>0</v>
      </c>
      <c r="W170" s="141">
        <f t="shared" si="178"/>
        <v>0</v>
      </c>
      <c r="X170" s="63">
        <f>($L170+SUM($W170:W170))*(P$11*P170)</f>
        <v>0</v>
      </c>
      <c r="Y170" s="63">
        <f>($L170+SUM($W170:X170))*(Q$11*Q170)</f>
        <v>0.9853130958904075</v>
      </c>
      <c r="Z170" s="63">
        <f>($L170+SUM($W170:Y170))*(R$11*R170)</f>
        <v>2.2037786630144116</v>
      </c>
      <c r="AA170" s="63">
        <f>($L170+SUM($W170:Z170))*(S$11*S170)</f>
        <v>2.3173232514864925</v>
      </c>
      <c r="AB170" s="63">
        <f>($L170+SUM($W170:AA170))*(T$11*T170)</f>
        <v>2.4300050243394327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9"/>
        <v>7.9364200347307445</v>
      </c>
    </row>
    <row r="171" spans="1:34" ht="12.75">
      <c r="A171" s="3">
        <v>8</v>
      </c>
      <c r="B171" s="15">
        <f t="shared" si="163"/>
        <v>42948</v>
      </c>
      <c r="C171" s="243">
        <f t="shared" si="167"/>
        <v>42984</v>
      </c>
      <c r="D171" s="243">
        <f t="shared" si="167"/>
        <v>42999</v>
      </c>
      <c r="E171" s="148" t="s">
        <v>219</v>
      </c>
      <c r="F171" s="16">
        <v>9</v>
      </c>
      <c r="G171" s="359">
        <f>+'[2]Load WS'!$L$23</f>
        <v>15</v>
      </c>
      <c r="H171" s="246">
        <f t="shared" si="182"/>
        <v>1651.41</v>
      </c>
      <c r="I171" s="246">
        <f t="shared" si="162"/>
        <v>1666.38</v>
      </c>
      <c r="J171" s="56">
        <f t="shared" si="164"/>
        <v>24995.7</v>
      </c>
      <c r="K171" s="74">
        <f t="shared" si="140"/>
        <v>24771.15</v>
      </c>
      <c r="L171" s="77">
        <f t="shared" si="180"/>
        <v>224.54999999999927</v>
      </c>
      <c r="M171" s="75">
        <f t="shared" si="142"/>
        <v>7.1515756875293635</v>
      </c>
      <c r="N171" s="76">
        <f t="shared" si="181"/>
        <v>231.70157568752865</v>
      </c>
      <c r="O171" s="16">
        <f t="shared" si="175"/>
        <v>0</v>
      </c>
      <c r="P171" s="16">
        <f t="shared" si="175"/>
        <v>0</v>
      </c>
      <c r="Q171" s="16">
        <f t="shared" si="175"/>
        <v>10</v>
      </c>
      <c r="R171" s="16">
        <f t="shared" si="175"/>
        <v>92</v>
      </c>
      <c r="S171" s="16">
        <f t="shared" si="175"/>
        <v>90</v>
      </c>
      <c r="T171" s="16">
        <f t="shared" si="175"/>
        <v>91</v>
      </c>
      <c r="U171" s="16">
        <f t="shared" si="175"/>
        <v>0</v>
      </c>
      <c r="V171" s="106">
        <f t="shared" si="177"/>
        <v>0</v>
      </c>
      <c r="W171" s="141">
        <f t="shared" si="178"/>
        <v>0</v>
      </c>
      <c r="X171" s="63">
        <f>($L171+SUM($W171:W171))*(P$11*P171)</f>
        <v>0</v>
      </c>
      <c r="Y171" s="63">
        <f>($L171+SUM($W171:X171))*(Q$11*Q171)</f>
        <v>0.2239347945205472</v>
      </c>
      <c r="Z171" s="63">
        <f>($L171+SUM($W171:Y171))*(R$11*R171)</f>
        <v>2.1963389887921863</v>
      </c>
      <c r="AA171" s="63">
        <f>($L171+SUM($W171:Z171))*(S$11*S171)</f>
        <v>2.3095002652910157</v>
      </c>
      <c r="AB171" s="63">
        <f>($L171+SUM($W171:AA171))*(T$11*T171)</f>
        <v>2.421801638925614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9"/>
        <v>7.1515756875293635</v>
      </c>
      <c r="AF171" s="13"/>
      <c r="AG171" s="13"/>
      <c r="AH171" s="13"/>
    </row>
    <row r="172" spans="1:31" ht="12.75">
      <c r="A172" s="3">
        <v>9</v>
      </c>
      <c r="B172" s="15">
        <f t="shared" si="163"/>
        <v>42979</v>
      </c>
      <c r="C172" s="243">
        <f aca="true" t="shared" si="183" ref="C172:D175">+C160</f>
        <v>43012</v>
      </c>
      <c r="D172" s="243">
        <f t="shared" si="183"/>
        <v>43027</v>
      </c>
      <c r="E172" s="148" t="s">
        <v>219</v>
      </c>
      <c r="F172" s="16">
        <v>9</v>
      </c>
      <c r="G172" s="359">
        <f>+'[2]Load WS'!$M$23</f>
        <v>15</v>
      </c>
      <c r="H172" s="246">
        <f t="shared" si="182"/>
        <v>1651.41</v>
      </c>
      <c r="I172" s="246">
        <f t="shared" si="162"/>
        <v>1666.38</v>
      </c>
      <c r="J172" s="56">
        <f t="shared" si="164"/>
        <v>24995.7</v>
      </c>
      <c r="K172" s="74">
        <f t="shared" si="140"/>
        <v>24771.15</v>
      </c>
      <c r="L172" s="77">
        <f t="shared" si="180"/>
        <v>224.54999999999927</v>
      </c>
      <c r="M172" s="75">
        <f t="shared" si="142"/>
        <v>6.482499971693269</v>
      </c>
      <c r="N172" s="76">
        <f t="shared" si="181"/>
        <v>231.03249997169254</v>
      </c>
      <c r="O172" s="16">
        <f aca="true" t="shared" si="184" ref="O172:R175">IF($D172&lt;O$8,O$12,IF($D172&lt;P$8,P$8-$D172,0))</f>
        <v>0</v>
      </c>
      <c r="P172" s="16">
        <f t="shared" si="184"/>
        <v>0</v>
      </c>
      <c r="Q172" s="16">
        <f t="shared" si="184"/>
        <v>0</v>
      </c>
      <c r="R172" s="16">
        <f t="shared" si="184"/>
        <v>74</v>
      </c>
      <c r="S172" s="16">
        <f aca="true" t="shared" si="185" ref="S172:U175">IF($D172&lt;S$8,S$12,IF($D172&lt;T$8,T$8-$D172,0))</f>
        <v>90</v>
      </c>
      <c r="T172" s="16">
        <f t="shared" si="185"/>
        <v>91</v>
      </c>
      <c r="U172" s="16">
        <f t="shared" si="185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1.7648604657534186</v>
      </c>
      <c r="AA172" s="63">
        <f>($L172+SUM($W172:Z172))*(S$11*S172)</f>
        <v>2.3028312103282342</v>
      </c>
      <c r="AB172" s="63">
        <f>($L172+SUM($W172:AA172))*(T$11*T172)</f>
        <v>2.4148082956116164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9"/>
        <v>6.482499971693269</v>
      </c>
    </row>
    <row r="173" spans="1:31" ht="12.75">
      <c r="A173" s="16">
        <v>10</v>
      </c>
      <c r="B173" s="15">
        <f t="shared" si="163"/>
        <v>43009</v>
      </c>
      <c r="C173" s="243">
        <f t="shared" si="183"/>
        <v>43042</v>
      </c>
      <c r="D173" s="243">
        <f t="shared" si="183"/>
        <v>43059</v>
      </c>
      <c r="E173" s="148" t="s">
        <v>219</v>
      </c>
      <c r="F173" s="16">
        <v>9</v>
      </c>
      <c r="G173" s="359">
        <f>+'[2]Load WS'!$N$23</f>
        <v>13</v>
      </c>
      <c r="H173" s="246">
        <f t="shared" si="182"/>
        <v>1651.41</v>
      </c>
      <c r="I173" s="246">
        <f t="shared" si="162"/>
        <v>1666.38</v>
      </c>
      <c r="J173" s="56">
        <f t="shared" si="164"/>
        <v>21662.940000000002</v>
      </c>
      <c r="K173" s="74">
        <f t="shared" si="140"/>
        <v>21468.33</v>
      </c>
      <c r="L173" s="77">
        <f t="shared" si="180"/>
        <v>194.61000000000058</v>
      </c>
      <c r="M173" s="75">
        <f t="shared" si="142"/>
        <v>4.942953740126793</v>
      </c>
      <c r="N173" s="76">
        <f t="shared" si="181"/>
        <v>199.55295374012738</v>
      </c>
      <c r="O173" s="16">
        <f t="shared" si="184"/>
        <v>0</v>
      </c>
      <c r="P173" s="16">
        <f t="shared" si="184"/>
        <v>0</v>
      </c>
      <c r="Q173" s="16">
        <f t="shared" si="184"/>
        <v>0</v>
      </c>
      <c r="R173" s="16">
        <f t="shared" si="184"/>
        <v>42</v>
      </c>
      <c r="S173" s="16">
        <f t="shared" si="185"/>
        <v>90</v>
      </c>
      <c r="T173" s="16">
        <f t="shared" si="185"/>
        <v>91</v>
      </c>
      <c r="U173" s="16">
        <f t="shared" si="185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0.86812055342466</v>
      </c>
      <c r="AA173" s="63">
        <f>($L173+SUM($W173:Z173))*(S$11*S173)</f>
        <v>1.9890568211929351</v>
      </c>
      <c r="AB173" s="63">
        <f>($L173+SUM($W173:AA173))*(T$11*T173)</f>
        <v>2.0857763655091976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9"/>
        <v>4.942953740126793</v>
      </c>
    </row>
    <row r="174" spans="1:31" ht="12.75">
      <c r="A174" s="3">
        <v>11</v>
      </c>
      <c r="B174" s="15">
        <f t="shared" si="163"/>
        <v>43040</v>
      </c>
      <c r="C174" s="243">
        <f t="shared" si="183"/>
        <v>43074</v>
      </c>
      <c r="D174" s="243">
        <f t="shared" si="183"/>
        <v>43089</v>
      </c>
      <c r="E174" s="148" t="s">
        <v>219</v>
      </c>
      <c r="F174" s="16">
        <v>9</v>
      </c>
      <c r="G174" s="359">
        <f>+'[2]Load WS'!$O$23</f>
        <v>11</v>
      </c>
      <c r="H174" s="246">
        <f t="shared" si="182"/>
        <v>1651.41</v>
      </c>
      <c r="I174" s="246">
        <f t="shared" si="162"/>
        <v>1666.38</v>
      </c>
      <c r="J174" s="56">
        <f t="shared" si="164"/>
        <v>18330.18</v>
      </c>
      <c r="K174" s="74">
        <f t="shared" si="140"/>
        <v>18165.510000000002</v>
      </c>
      <c r="L174" s="77">
        <f t="shared" si="180"/>
        <v>164.66999999999825</v>
      </c>
      <c r="M174" s="75">
        <f t="shared" si="142"/>
        <v>3.646873699187898</v>
      </c>
      <c r="N174" s="76">
        <f t="shared" si="181"/>
        <v>168.31687369918615</v>
      </c>
      <c r="O174" s="16">
        <f t="shared" si="184"/>
        <v>0</v>
      </c>
      <c r="P174" s="16">
        <f t="shared" si="184"/>
        <v>0</v>
      </c>
      <c r="Q174" s="16">
        <f t="shared" si="184"/>
        <v>0</v>
      </c>
      <c r="R174" s="16">
        <f t="shared" si="184"/>
        <v>12</v>
      </c>
      <c r="S174" s="16">
        <f t="shared" si="185"/>
        <v>90</v>
      </c>
      <c r="T174" s="16">
        <f t="shared" si="185"/>
        <v>91</v>
      </c>
      <c r="U174" s="16">
        <f t="shared" si="185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0.20987529863013474</v>
      </c>
      <c r="AA174" s="63">
        <f>($L174+SUM($W174:Z174))*(S$11*S174)</f>
        <v>1.6777091968742623</v>
      </c>
      <c r="AB174" s="63">
        <f>($L174+SUM($W174:AA174))*(T$11*T174)</f>
        <v>1.7592892036835008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9"/>
        <v>3.646873699187898</v>
      </c>
    </row>
    <row r="175" spans="1:31" s="69" customFormat="1" ht="12.75">
      <c r="A175" s="3">
        <v>12</v>
      </c>
      <c r="B175" s="83">
        <f t="shared" si="163"/>
        <v>43070</v>
      </c>
      <c r="C175" s="243">
        <f t="shared" si="183"/>
        <v>43104</v>
      </c>
      <c r="D175" s="243">
        <f t="shared" si="183"/>
        <v>43119</v>
      </c>
      <c r="E175" s="149" t="s">
        <v>219</v>
      </c>
      <c r="F175" s="81">
        <v>9</v>
      </c>
      <c r="G175" s="360">
        <f>+'[2]Load WS'!$P$23</f>
        <v>7</v>
      </c>
      <c r="H175" s="247">
        <f t="shared" si="182"/>
        <v>1651.41</v>
      </c>
      <c r="I175" s="247">
        <f t="shared" si="162"/>
        <v>1666.38</v>
      </c>
      <c r="J175" s="85">
        <f t="shared" si="164"/>
        <v>11664.66</v>
      </c>
      <c r="K175" s="86">
        <f t="shared" si="140"/>
        <v>11559.87</v>
      </c>
      <c r="L175" s="87">
        <f t="shared" si="180"/>
        <v>104.78999999999905</v>
      </c>
      <c r="M175" s="88">
        <f t="shared" si="142"/>
        <v>1.9688893786635786</v>
      </c>
      <c r="N175" s="89">
        <f t="shared" si="181"/>
        <v>106.75888937866263</v>
      </c>
      <c r="O175" s="81">
        <f t="shared" si="184"/>
        <v>0</v>
      </c>
      <c r="P175" s="81">
        <f t="shared" si="184"/>
        <v>0</v>
      </c>
      <c r="Q175" s="81">
        <f t="shared" si="184"/>
        <v>0</v>
      </c>
      <c r="R175" s="81">
        <f t="shared" si="184"/>
        <v>0</v>
      </c>
      <c r="S175" s="81">
        <f t="shared" si="185"/>
        <v>72</v>
      </c>
      <c r="T175" s="81">
        <f t="shared" si="185"/>
        <v>91</v>
      </c>
      <c r="U175" s="81">
        <f t="shared" si="185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0.8530193095890334</v>
      </c>
      <c r="AB175" s="90">
        <f>($L175+SUM($W175:AA175))*(T$11*T175)</f>
        <v>1.1158700690745451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9"/>
        <v>1.9688893786635786</v>
      </c>
    </row>
    <row r="176" spans="1:31" ht="12.75">
      <c r="A176" s="16">
        <v>1</v>
      </c>
      <c r="B176" s="15">
        <f t="shared" si="163"/>
        <v>42736</v>
      </c>
      <c r="C176" s="242">
        <f aca="true" t="shared" si="186" ref="C176:D187">+C152</f>
        <v>42769</v>
      </c>
      <c r="D176" s="242">
        <f t="shared" si="186"/>
        <v>42786</v>
      </c>
      <c r="E176" s="117" t="s">
        <v>220</v>
      </c>
      <c r="F176" s="3">
        <v>9</v>
      </c>
      <c r="G176" s="359">
        <f>+'[2]Load WS'!$E$24</f>
        <v>20</v>
      </c>
      <c r="H176" s="246">
        <f aca="true" t="shared" si="187" ref="H176:H181">$K$3</f>
        <v>1623.7</v>
      </c>
      <c r="I176" s="246">
        <f t="shared" si="162"/>
        <v>1666.38</v>
      </c>
      <c r="J176" s="56">
        <f t="shared" si="164"/>
        <v>33327.600000000006</v>
      </c>
      <c r="K176" s="57">
        <f t="shared" si="140"/>
        <v>32474</v>
      </c>
      <c r="L176" s="58">
        <f t="shared" si="180"/>
        <v>853.6000000000058</v>
      </c>
      <c r="M176" s="55">
        <f t="shared" si="142"/>
        <v>45.565567220277984</v>
      </c>
      <c r="N176" s="29">
        <f t="shared" si="181"/>
        <v>899.1655672202838</v>
      </c>
      <c r="O176" s="16">
        <f aca="true" t="shared" si="188" ref="O176:Q187">IF($D176&lt;O$8,O$12,IF($D176&lt;P$8,P$8-$D176,0))</f>
        <v>40</v>
      </c>
      <c r="P176" s="16">
        <f t="shared" si="188"/>
        <v>91</v>
      </c>
      <c r="Q176" s="16">
        <f t="shared" si="188"/>
        <v>92</v>
      </c>
      <c r="R176" s="16">
        <f aca="true" t="shared" si="189" ref="R176:U195">IF($D176&lt;R$8,R$12,IF($D176&lt;S$8,S$8-$D176,0))</f>
        <v>92</v>
      </c>
      <c r="S176" s="16">
        <f t="shared" si="189"/>
        <v>90</v>
      </c>
      <c r="T176" s="16">
        <f t="shared" si="189"/>
        <v>91</v>
      </c>
      <c r="U176" s="16">
        <f t="shared" si="189"/>
        <v>0</v>
      </c>
      <c r="V176" s="106">
        <f aca="true" t="shared" si="190" ref="V176:V187">IF(W$8&lt;V$8,0,IF($D176&lt;V$8,V$12,IF($D176&lt;W$8,W$8-$D176,0)))</f>
        <v>0</v>
      </c>
      <c r="W176" s="141">
        <f aca="true" t="shared" si="191" ref="W176:W187">$L176*O$11*O176</f>
        <v>3.2740821917808445</v>
      </c>
      <c r="X176" s="63">
        <f>($L176+SUM($W176:W176))*(P$11*P176)</f>
        <v>7.477106717207782</v>
      </c>
      <c r="Y176" s="63">
        <f>($L176+SUM($W176:X176))*(Q$11*Q176)</f>
        <v>7.9302445518313425</v>
      </c>
      <c r="Z176" s="63">
        <f>($L176+SUM($W176:Y176))*(R$11*R176)</f>
        <v>8.52334468078306</v>
      </c>
      <c r="AA176" s="63">
        <f>($L176+SUM($W176:Z176))*(S$11*S176)</f>
        <v>8.962490263062836</v>
      </c>
      <c r="AB176" s="63">
        <f>($L176+SUM($W176:AA176))*(T$11*T176)</f>
        <v>9.398298815612122</v>
      </c>
      <c r="AC176" s="63">
        <f>($L176+SUM($W176:AB176))*(U$11*U176)</f>
        <v>0</v>
      </c>
      <c r="AD176" s="63">
        <f>($L176+SUM($W176:AC176))*(V$11*V176)</f>
        <v>0</v>
      </c>
      <c r="AE176" s="110">
        <f>SUM(W176:AD176)</f>
        <v>45.565567220277984</v>
      </c>
    </row>
    <row r="177" spans="1:31" ht="12.75">
      <c r="A177" s="3">
        <v>2</v>
      </c>
      <c r="B177" s="15">
        <f t="shared" si="163"/>
        <v>42767</v>
      </c>
      <c r="C177" s="243">
        <f t="shared" si="186"/>
        <v>42797</v>
      </c>
      <c r="D177" s="243">
        <f t="shared" si="186"/>
        <v>42814</v>
      </c>
      <c r="E177" s="30" t="s">
        <v>220</v>
      </c>
      <c r="F177" s="3">
        <v>9</v>
      </c>
      <c r="G177" s="359">
        <f>+'[2]Load WS'!$F$24</f>
        <v>16</v>
      </c>
      <c r="H177" s="246">
        <f t="shared" si="187"/>
        <v>1623.7</v>
      </c>
      <c r="I177" s="246">
        <f t="shared" si="162"/>
        <v>1666.38</v>
      </c>
      <c r="J177" s="56">
        <f t="shared" si="164"/>
        <v>26662.08</v>
      </c>
      <c r="K177" s="57">
        <f t="shared" si="140"/>
        <v>25979.2</v>
      </c>
      <c r="L177" s="58">
        <f t="shared" si="180"/>
        <v>682.880000000001</v>
      </c>
      <c r="M177" s="55">
        <f t="shared" si="142"/>
        <v>34.528475051602385</v>
      </c>
      <c r="N177" s="29">
        <f t="shared" si="181"/>
        <v>717.4084750516034</v>
      </c>
      <c r="O177" s="16">
        <f t="shared" si="188"/>
        <v>12</v>
      </c>
      <c r="P177" s="16">
        <f t="shared" si="188"/>
        <v>91</v>
      </c>
      <c r="Q177" s="16">
        <f t="shared" si="188"/>
        <v>92</v>
      </c>
      <c r="R177" s="16">
        <f t="shared" si="189"/>
        <v>92</v>
      </c>
      <c r="S177" s="16">
        <f t="shared" si="189"/>
        <v>90</v>
      </c>
      <c r="T177" s="16">
        <f t="shared" si="189"/>
        <v>91</v>
      </c>
      <c r="U177" s="16">
        <f t="shared" si="189"/>
        <v>0</v>
      </c>
      <c r="V177" s="106">
        <f t="shared" si="190"/>
        <v>0</v>
      </c>
      <c r="W177" s="141">
        <f t="shared" si="191"/>
        <v>0.7857797260273984</v>
      </c>
      <c r="X177" s="63">
        <f>($L177+SUM($W177:W177))*(P$11*P177)</f>
        <v>5.965686324458631</v>
      </c>
      <c r="Y177" s="63">
        <f>($L177+SUM($W177:X177))*(Q$11*Q177)</f>
        <v>6.327226995917453</v>
      </c>
      <c r="Z177" s="63">
        <f>($L177+SUM($W177:Y177))*(R$11*R177)</f>
        <v>6.800438020200282</v>
      </c>
      <c r="AA177" s="63">
        <f>($L177+SUM($W177:Z177))*(S$11*S177)</f>
        <v>7.1508148295380005</v>
      </c>
      <c r="AB177" s="63">
        <f>($L177+SUM($W177:AA177))*(T$11*T177)</f>
        <v>7.498529155460618</v>
      </c>
      <c r="AC177" s="63">
        <f>($L177+SUM($W177:AB177))*(U$11*U177)</f>
        <v>0</v>
      </c>
      <c r="AD177" s="63">
        <f>($L177+SUM($W177:AC177))*(V$11*V177)</f>
        <v>0</v>
      </c>
      <c r="AE177" s="110">
        <f aca="true" t="shared" si="192" ref="AE177:AE187">SUM(W177:AD177)</f>
        <v>34.528475051602385</v>
      </c>
    </row>
    <row r="178" spans="1:31" ht="12.75">
      <c r="A178" s="3">
        <v>3</v>
      </c>
      <c r="B178" s="15">
        <f t="shared" si="163"/>
        <v>42795</v>
      </c>
      <c r="C178" s="243">
        <f t="shared" si="186"/>
        <v>42830</v>
      </c>
      <c r="D178" s="243">
        <f t="shared" si="186"/>
        <v>42845</v>
      </c>
      <c r="E178" s="30" t="s">
        <v>220</v>
      </c>
      <c r="F178" s="3">
        <v>9</v>
      </c>
      <c r="G178" s="359">
        <f>+'[2]Load WS'!$G$24</f>
        <v>20</v>
      </c>
      <c r="H178" s="246">
        <f t="shared" si="187"/>
        <v>1623.7</v>
      </c>
      <c r="I178" s="246">
        <f t="shared" si="162"/>
        <v>1666.38</v>
      </c>
      <c r="J178" s="56">
        <f t="shared" si="164"/>
        <v>33327.600000000006</v>
      </c>
      <c r="K178" s="57">
        <f t="shared" si="140"/>
        <v>32474</v>
      </c>
      <c r="L178" s="58">
        <f>+J178-K178</f>
        <v>853.6000000000058</v>
      </c>
      <c r="M178" s="55">
        <f t="shared" si="142"/>
        <v>40.512061907027515</v>
      </c>
      <c r="N178" s="29">
        <f>SUM(L178:M178)</f>
        <v>894.1120619070333</v>
      </c>
      <c r="O178" s="16">
        <f t="shared" si="188"/>
        <v>0</v>
      </c>
      <c r="P178" s="16">
        <f t="shared" si="188"/>
        <v>72</v>
      </c>
      <c r="Q178" s="16">
        <f t="shared" si="188"/>
        <v>92</v>
      </c>
      <c r="R178" s="16">
        <f t="shared" si="189"/>
        <v>92</v>
      </c>
      <c r="S178" s="16">
        <f t="shared" si="189"/>
        <v>90</v>
      </c>
      <c r="T178" s="16">
        <f t="shared" si="189"/>
        <v>91</v>
      </c>
      <c r="U178" s="16">
        <f t="shared" si="189"/>
        <v>0</v>
      </c>
      <c r="V178" s="106">
        <f t="shared" si="190"/>
        <v>0</v>
      </c>
      <c r="W178" s="141">
        <f t="shared" si="191"/>
        <v>0</v>
      </c>
      <c r="X178" s="63">
        <f>($L178+SUM($W178:W178))*(P$11*P178)</f>
        <v>5.89334794520552</v>
      </c>
      <c r="Y178" s="63">
        <f>($L178+SUM($W178:X178))*(Q$11*Q178)</f>
        <v>7.885674859175132</v>
      </c>
      <c r="Z178" s="63">
        <f>($L178+SUM($W178:Y178))*(R$11*R178)</f>
        <v>8.47544163689298</v>
      </c>
      <c r="AA178" s="63">
        <f>($L178+SUM($W178:Z178))*(S$11*S178)</f>
        <v>8.912119125849074</v>
      </c>
      <c r="AB178" s="63">
        <f>($L178+SUM($W178:AA178))*(T$11*T178)</f>
        <v>9.34547833990481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92"/>
        <v>40.512061907027515</v>
      </c>
    </row>
    <row r="179" spans="1:31" ht="12.75">
      <c r="A179" s="16">
        <v>4</v>
      </c>
      <c r="B179" s="15">
        <f t="shared" si="163"/>
        <v>42826</v>
      </c>
      <c r="C179" s="243">
        <f t="shared" si="186"/>
        <v>42858</v>
      </c>
      <c r="D179" s="243">
        <f t="shared" si="186"/>
        <v>42873</v>
      </c>
      <c r="E179" s="30" t="s">
        <v>220</v>
      </c>
      <c r="F179" s="3">
        <v>9</v>
      </c>
      <c r="G179" s="359">
        <f>+'[2]Load WS'!$H$24</f>
        <v>22</v>
      </c>
      <c r="H179" s="246">
        <f t="shared" si="187"/>
        <v>1623.7</v>
      </c>
      <c r="I179" s="246">
        <f t="shared" si="162"/>
        <v>1666.38</v>
      </c>
      <c r="J179" s="56">
        <f t="shared" si="164"/>
        <v>36660.36</v>
      </c>
      <c r="K179" s="57">
        <f t="shared" si="140"/>
        <v>35721.4</v>
      </c>
      <c r="L179" s="58">
        <f aca="true" t="shared" si="193" ref="L179:L189">+J179-K179</f>
        <v>938.9599999999991</v>
      </c>
      <c r="M179" s="55">
        <f t="shared" si="142"/>
        <v>41.94068210857076</v>
      </c>
      <c r="N179" s="29">
        <f aca="true" t="shared" si="194" ref="N179:N189">SUM(L179:M179)</f>
        <v>980.9006821085699</v>
      </c>
      <c r="O179" s="16">
        <f t="shared" si="188"/>
        <v>0</v>
      </c>
      <c r="P179" s="16">
        <f t="shared" si="188"/>
        <v>44</v>
      </c>
      <c r="Q179" s="16">
        <f t="shared" si="188"/>
        <v>92</v>
      </c>
      <c r="R179" s="16">
        <f>IF($D179&lt;R$8,R$12,IF($D179&lt;S$8,S$8-$D179,0))</f>
        <v>92</v>
      </c>
      <c r="S179" s="16">
        <f aca="true" t="shared" si="195" ref="S179:U183">IF($D179&lt;S$8,S$12,IF($D179&lt;T$8,T$8-$D179,0))</f>
        <v>90</v>
      </c>
      <c r="T179" s="16">
        <f t="shared" si="195"/>
        <v>91</v>
      </c>
      <c r="U179" s="16">
        <f t="shared" si="195"/>
        <v>0</v>
      </c>
      <c r="V179" s="106">
        <f>IF(W$8&lt;V$8,0,IF($D179&lt;V$8,V$12,IF($D179&lt;W$8,W$8-$D179,0)))</f>
        <v>0</v>
      </c>
      <c r="W179" s="141">
        <f>$L179*O$11*O179</f>
        <v>0</v>
      </c>
      <c r="X179" s="63">
        <f>($L179+SUM($W179:W179))*(P$11*P179)</f>
        <v>3.9616394520547917</v>
      </c>
      <c r="Y179" s="63">
        <f>($L179+SUM($W179:X179))*(Q$11*Q179)</f>
        <v>8.651112290950788</v>
      </c>
      <c r="Z179" s="63">
        <f>($L179+SUM($W179:Y179))*(R$11*R179)</f>
        <v>9.298125858036029</v>
      </c>
      <c r="AA179" s="63">
        <f>($L179+SUM($W179:Z179))*(S$11*S179)</f>
        <v>9.77719024495963</v>
      </c>
      <c r="AB179" s="63">
        <f>($L179+SUM($W179:AA179))*(T$11*T179)</f>
        <v>10.252614262569521</v>
      </c>
      <c r="AC179" s="63">
        <f>($L179+SUM($W179:AB179))*(U$11*U179)</f>
        <v>0</v>
      </c>
      <c r="AD179" s="63">
        <f>($L179+SUM($W179:AC179))*(V$11*V179)</f>
        <v>0</v>
      </c>
      <c r="AE179" s="110">
        <f>SUM(W179:AD179)</f>
        <v>41.94068210857076</v>
      </c>
    </row>
    <row r="180" spans="1:31" ht="12.75">
      <c r="A180" s="3">
        <v>5</v>
      </c>
      <c r="B180" s="15">
        <f t="shared" si="163"/>
        <v>42856</v>
      </c>
      <c r="C180" s="243">
        <f t="shared" si="186"/>
        <v>42891</v>
      </c>
      <c r="D180" s="243">
        <f t="shared" si="186"/>
        <v>42906</v>
      </c>
      <c r="E180" s="30" t="s">
        <v>220</v>
      </c>
      <c r="F180" s="3">
        <v>9</v>
      </c>
      <c r="G180" s="359">
        <f>+'[2]Load WS'!$I$24</f>
        <v>26</v>
      </c>
      <c r="H180" s="246">
        <f t="shared" si="187"/>
        <v>1623.7</v>
      </c>
      <c r="I180" s="246">
        <f aca="true" t="shared" si="196" ref="I180:I211">$J$3</f>
        <v>1666.38</v>
      </c>
      <c r="J180" s="56">
        <f t="shared" si="164"/>
        <v>43325.880000000005</v>
      </c>
      <c r="K180" s="57">
        <f t="shared" si="140"/>
        <v>42216.200000000004</v>
      </c>
      <c r="L180" s="58">
        <f t="shared" si="193"/>
        <v>1109.6800000000003</v>
      </c>
      <c r="M180" s="55">
        <f t="shared" si="142"/>
        <v>45.9133730460081</v>
      </c>
      <c r="N180" s="29">
        <f t="shared" si="194"/>
        <v>1155.5933730460083</v>
      </c>
      <c r="O180" s="16">
        <f t="shared" si="188"/>
        <v>0</v>
      </c>
      <c r="P180" s="16">
        <f t="shared" si="188"/>
        <v>11</v>
      </c>
      <c r="Q180" s="16">
        <f t="shared" si="188"/>
        <v>92</v>
      </c>
      <c r="R180" s="16">
        <f>IF($D180&lt;R$8,R$12,IF($D180&lt;S$8,S$8-$D180,0))</f>
        <v>92</v>
      </c>
      <c r="S180" s="16">
        <f t="shared" si="195"/>
        <v>90</v>
      </c>
      <c r="T180" s="16">
        <f t="shared" si="195"/>
        <v>91</v>
      </c>
      <c r="U180" s="16">
        <f t="shared" si="195"/>
        <v>0</v>
      </c>
      <c r="V180" s="106">
        <f>IF(W$8&lt;V$8,0,IF($D180&lt;V$8,V$12,IF($D180&lt;W$8,W$8-$D180,0)))</f>
        <v>0</v>
      </c>
      <c r="W180" s="141">
        <f>$L180*O$11*O180</f>
        <v>0</v>
      </c>
      <c r="X180" s="63">
        <f>($L180+SUM($W180:W180))*(P$11*P180)</f>
        <v>1.1704843835616443</v>
      </c>
      <c r="Y180" s="63">
        <f>($L180+SUM($W180:X180))*(Q$11*Q180)</f>
        <v>10.191824937270333</v>
      </c>
      <c r="Z180" s="63">
        <f>($L180+SUM($W180:Y180))*(R$11*R180)</f>
        <v>10.954067847314317</v>
      </c>
      <c r="AA180" s="63">
        <f>($L180+SUM($W180:Z180))*(S$11*S180)</f>
        <v>11.518450807678072</v>
      </c>
      <c r="AB180" s="63">
        <f>($L180+SUM($W180:AA180))*(T$11*T180)</f>
        <v>12.078545070183731</v>
      </c>
      <c r="AC180" s="63">
        <f>($L180+SUM($W180:AB180))*(U$11*U180)</f>
        <v>0</v>
      </c>
      <c r="AD180" s="63">
        <f>($L180+SUM($W180:AC180))*(V$11*V180)</f>
        <v>0</v>
      </c>
      <c r="AE180" s="110">
        <f>SUM(W180:AD180)</f>
        <v>45.9133730460081</v>
      </c>
    </row>
    <row r="181" spans="1:31" ht="12.75">
      <c r="A181" s="3">
        <v>6</v>
      </c>
      <c r="B181" s="15">
        <f t="shared" si="163"/>
        <v>42887</v>
      </c>
      <c r="C181" s="243">
        <f t="shared" si="186"/>
        <v>42922</v>
      </c>
      <c r="D181" s="243">
        <f t="shared" si="186"/>
        <v>42937</v>
      </c>
      <c r="E181" s="30" t="s">
        <v>220</v>
      </c>
      <c r="F181" s="3">
        <v>9</v>
      </c>
      <c r="G181" s="359">
        <f>+'[2]Load WS'!$J$24</f>
        <v>30</v>
      </c>
      <c r="H181" s="246">
        <f t="shared" si="187"/>
        <v>1623.7</v>
      </c>
      <c r="I181" s="246">
        <f t="shared" si="196"/>
        <v>1666.38</v>
      </c>
      <c r="J181" s="56">
        <f t="shared" si="164"/>
        <v>49991.4</v>
      </c>
      <c r="K181" s="57">
        <f t="shared" si="140"/>
        <v>48711</v>
      </c>
      <c r="L181" s="77">
        <f t="shared" si="193"/>
        <v>1280.4000000000015</v>
      </c>
      <c r="M181" s="78">
        <f t="shared" si="142"/>
        <v>48.939519153908094</v>
      </c>
      <c r="N181" s="76">
        <f t="shared" si="194"/>
        <v>1329.3395191539096</v>
      </c>
      <c r="O181" s="16">
        <f t="shared" si="188"/>
        <v>0</v>
      </c>
      <c r="P181" s="16">
        <f t="shared" si="188"/>
        <v>0</v>
      </c>
      <c r="Q181" s="16">
        <f t="shared" si="188"/>
        <v>72</v>
      </c>
      <c r="R181" s="16">
        <f>IF($D181&lt;R$8,R$12,IF($D181&lt;S$8,S$8-$D181,0))</f>
        <v>92</v>
      </c>
      <c r="S181" s="16">
        <f t="shared" si="195"/>
        <v>90</v>
      </c>
      <c r="T181" s="16">
        <f t="shared" si="195"/>
        <v>91</v>
      </c>
      <c r="U181" s="16">
        <f t="shared" si="195"/>
        <v>0</v>
      </c>
      <c r="V181" s="106">
        <f>IF(W$8&lt;V$8,0,IF($D181&lt;V$8,V$12,IF($D181&lt;W$8,W$8-$D181,0)))</f>
        <v>0</v>
      </c>
      <c r="W181" s="141">
        <f>$L181*O$11*O181</f>
        <v>0</v>
      </c>
      <c r="X181" s="63">
        <f>($L181+SUM($W181:W181))*(P$11*P181)</f>
        <v>0</v>
      </c>
      <c r="Y181" s="63">
        <f>($L181+SUM($W181:X181))*(Q$11*Q181)</f>
        <v>9.193622794520557</v>
      </c>
      <c r="Z181" s="63">
        <f>($L181+SUM($W181:Y181))*(R$11*R181)</f>
        <v>12.601037375755492</v>
      </c>
      <c r="AA181" s="63">
        <f>($L181+SUM($W181:Z181))*(S$11*S181)</f>
        <v>13.250276624307974</v>
      </c>
      <c r="AB181" s="63">
        <f>($L181+SUM($W181:AA181))*(T$11*T181)</f>
        <v>13.894582359324067</v>
      </c>
      <c r="AC181" s="63">
        <f>($L181+SUM($W181:AB181))*(U$11*U181)</f>
        <v>0</v>
      </c>
      <c r="AD181" s="63">
        <f>($L181+SUM($W181:AC181))*(V$11*V181)</f>
        <v>0</v>
      </c>
      <c r="AE181" s="110">
        <f>SUM(W181:AD181)</f>
        <v>48.939519153908094</v>
      </c>
    </row>
    <row r="182" spans="1:31" ht="12.75">
      <c r="A182" s="16">
        <v>7</v>
      </c>
      <c r="B182" s="15">
        <f t="shared" si="163"/>
        <v>42917</v>
      </c>
      <c r="C182" s="243">
        <f t="shared" si="186"/>
        <v>42950</v>
      </c>
      <c r="D182" s="243">
        <f t="shared" si="186"/>
        <v>42965</v>
      </c>
      <c r="E182" s="30" t="s">
        <v>220</v>
      </c>
      <c r="F182" s="3">
        <v>9</v>
      </c>
      <c r="G182" s="359">
        <f>+'[2]Load WS'!$K$24</f>
        <v>34</v>
      </c>
      <c r="H182" s="246">
        <f aca="true" t="shared" si="197" ref="H182:H187">$K$8</f>
        <v>1651.41</v>
      </c>
      <c r="I182" s="246">
        <f t="shared" si="196"/>
        <v>1666.38</v>
      </c>
      <c r="J182" s="56">
        <f t="shared" si="164"/>
        <v>56656.920000000006</v>
      </c>
      <c r="K182" s="74">
        <f t="shared" si="140"/>
        <v>56147.94</v>
      </c>
      <c r="L182" s="77">
        <f t="shared" si="193"/>
        <v>508.9800000000032</v>
      </c>
      <c r="M182" s="75">
        <f t="shared" si="142"/>
        <v>17.98921874538986</v>
      </c>
      <c r="N182" s="76">
        <f t="shared" si="194"/>
        <v>526.969218745393</v>
      </c>
      <c r="O182" s="16">
        <f t="shared" si="188"/>
        <v>0</v>
      </c>
      <c r="P182" s="16">
        <f t="shared" si="188"/>
        <v>0</v>
      </c>
      <c r="Q182" s="16">
        <f t="shared" si="188"/>
        <v>44</v>
      </c>
      <c r="R182" s="16">
        <f>IF($D182&lt;R$8,R$12,IF($D182&lt;S$8,S$8-$D182,0))</f>
        <v>92</v>
      </c>
      <c r="S182" s="16">
        <f t="shared" si="195"/>
        <v>90</v>
      </c>
      <c r="T182" s="16">
        <f t="shared" si="195"/>
        <v>91</v>
      </c>
      <c r="U182" s="16">
        <f t="shared" si="195"/>
        <v>0</v>
      </c>
      <c r="V182" s="106">
        <f>IF(W$8&lt;V$8,0,IF($D182&lt;V$8,V$12,IF($D182&lt;W$8,W$8-$D182,0)))</f>
        <v>0</v>
      </c>
      <c r="W182" s="141">
        <f>$L182*O$11*O182</f>
        <v>0</v>
      </c>
      <c r="X182" s="63">
        <f>($L182+SUM($W182:W182))*(P$11*P182)</f>
        <v>0</v>
      </c>
      <c r="Y182" s="63">
        <f>($L182+SUM($W182:X182))*(Q$11*Q182)</f>
        <v>2.233376350684945</v>
      </c>
      <c r="Z182" s="63">
        <f>($L182+SUM($W182:Y182))*(R$11*R182)</f>
        <v>4.995231636166047</v>
      </c>
      <c r="AA182" s="63">
        <f>($L182+SUM($W182:Z182))*(S$11*S182)</f>
        <v>5.2525993700361</v>
      </c>
      <c r="AB182" s="63">
        <f>($L182+SUM($W182:AA182))*(T$11*T182)</f>
        <v>5.508011388502767</v>
      </c>
      <c r="AC182" s="63">
        <f>($L182+SUM($W182:AB182))*(U$11*U182)</f>
        <v>0</v>
      </c>
      <c r="AD182" s="63">
        <f>($L182+SUM($W182:AC182))*(V$11*V182)</f>
        <v>0</v>
      </c>
      <c r="AE182" s="110">
        <f>SUM(W182:AD182)</f>
        <v>17.98921874538986</v>
      </c>
    </row>
    <row r="183" spans="1:31" ht="12.75">
      <c r="A183" s="3">
        <v>8</v>
      </c>
      <c r="B183" s="15">
        <f t="shared" si="163"/>
        <v>42948</v>
      </c>
      <c r="C183" s="243">
        <f t="shared" si="186"/>
        <v>42984</v>
      </c>
      <c r="D183" s="243">
        <f t="shared" si="186"/>
        <v>42999</v>
      </c>
      <c r="E183" s="30" t="s">
        <v>220</v>
      </c>
      <c r="F183" s="3">
        <v>9</v>
      </c>
      <c r="G183" s="359">
        <f>+'[2]Load WS'!$L$24</f>
        <v>34</v>
      </c>
      <c r="H183" s="246">
        <f t="shared" si="197"/>
        <v>1651.41</v>
      </c>
      <c r="I183" s="246">
        <f t="shared" si="196"/>
        <v>1666.38</v>
      </c>
      <c r="J183" s="56">
        <f t="shared" si="164"/>
        <v>56656.920000000006</v>
      </c>
      <c r="K183" s="74">
        <f t="shared" si="140"/>
        <v>56147.94</v>
      </c>
      <c r="L183" s="77">
        <f t="shared" si="193"/>
        <v>508.9800000000032</v>
      </c>
      <c r="M183" s="75">
        <f t="shared" si="142"/>
        <v>16.21023822506671</v>
      </c>
      <c r="N183" s="76">
        <f t="shared" si="194"/>
        <v>525.19023822507</v>
      </c>
      <c r="O183" s="16">
        <f t="shared" si="188"/>
        <v>0</v>
      </c>
      <c r="P183" s="16">
        <f t="shared" si="188"/>
        <v>0</v>
      </c>
      <c r="Q183" s="16">
        <f t="shared" si="188"/>
        <v>10</v>
      </c>
      <c r="R183" s="16">
        <f>IF($D183&lt;R$8,R$12,IF($D183&lt;S$8,S$8-$D183,0))</f>
        <v>92</v>
      </c>
      <c r="S183" s="16">
        <f t="shared" si="195"/>
        <v>90</v>
      </c>
      <c r="T183" s="16">
        <f t="shared" si="195"/>
        <v>91</v>
      </c>
      <c r="U183" s="16">
        <f t="shared" si="195"/>
        <v>0</v>
      </c>
      <c r="V183" s="106">
        <f>IF(W$8&lt;V$8,0,IF($D183&lt;V$8,V$12,IF($D183&lt;W$8,W$8-$D183,0)))</f>
        <v>0</v>
      </c>
      <c r="W183" s="141">
        <f>$L183*O$11*O183</f>
        <v>0</v>
      </c>
      <c r="X183" s="63">
        <f>($L183+SUM($W183:W183))*(P$11*P183)</f>
        <v>0</v>
      </c>
      <c r="Y183" s="63">
        <f>($L183+SUM($W183:X183))*(Q$11*Q183)</f>
        <v>0.5075855342465785</v>
      </c>
      <c r="Z183" s="63">
        <f>($L183+SUM($W183:Y183))*(R$11*R183)</f>
        <v>4.97836837459567</v>
      </c>
      <c r="AA183" s="63">
        <f>($L183+SUM($W183:Z183))*(S$11*S183)</f>
        <v>5.234867267993019</v>
      </c>
      <c r="AB183" s="63">
        <f>($L183+SUM($W183:AA183))*(T$11*T183)</f>
        <v>5.489417048231444</v>
      </c>
      <c r="AC183" s="63">
        <f>($L183+SUM($W183:AB183))*(U$11*U183)</f>
        <v>0</v>
      </c>
      <c r="AD183" s="63">
        <f>($L183+SUM($W183:AC183))*(V$11*V183)</f>
        <v>0</v>
      </c>
      <c r="AE183" s="110">
        <f>SUM(W183:AD183)</f>
        <v>16.21023822506671</v>
      </c>
    </row>
    <row r="184" spans="1:31" ht="12.75">
      <c r="A184" s="3">
        <v>9</v>
      </c>
      <c r="B184" s="15">
        <f t="shared" si="163"/>
        <v>42979</v>
      </c>
      <c r="C184" s="243">
        <f t="shared" si="186"/>
        <v>43012</v>
      </c>
      <c r="D184" s="243">
        <f t="shared" si="186"/>
        <v>43027</v>
      </c>
      <c r="E184" s="30" t="s">
        <v>220</v>
      </c>
      <c r="F184" s="3">
        <v>9</v>
      </c>
      <c r="G184" s="359">
        <f>+'[2]Load WS'!$M$24</f>
        <v>32</v>
      </c>
      <c r="H184" s="246">
        <f t="shared" si="197"/>
        <v>1651.41</v>
      </c>
      <c r="I184" s="246">
        <f t="shared" si="196"/>
        <v>1666.38</v>
      </c>
      <c r="J184" s="56">
        <f t="shared" si="164"/>
        <v>53324.16</v>
      </c>
      <c r="K184" s="74">
        <f t="shared" si="140"/>
        <v>52845.12</v>
      </c>
      <c r="L184" s="77">
        <f t="shared" si="193"/>
        <v>479.0400000000009</v>
      </c>
      <c r="M184" s="75">
        <f t="shared" si="142"/>
        <v>13.82933327294571</v>
      </c>
      <c r="N184" s="76">
        <f t="shared" si="194"/>
        <v>492.86933327294656</v>
      </c>
      <c r="O184" s="16">
        <f t="shared" si="188"/>
        <v>0</v>
      </c>
      <c r="P184" s="16">
        <f t="shared" si="188"/>
        <v>0</v>
      </c>
      <c r="Q184" s="16">
        <f t="shared" si="188"/>
        <v>0</v>
      </c>
      <c r="R184" s="16">
        <f t="shared" si="189"/>
        <v>74</v>
      </c>
      <c r="S184" s="16">
        <f t="shared" si="189"/>
        <v>90</v>
      </c>
      <c r="T184" s="16">
        <f t="shared" si="189"/>
        <v>91</v>
      </c>
      <c r="U184" s="16">
        <f t="shared" si="189"/>
        <v>0</v>
      </c>
      <c r="V184" s="106">
        <f t="shared" si="190"/>
        <v>0</v>
      </c>
      <c r="W184" s="141">
        <f t="shared" si="191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3.7650356602739787</v>
      </c>
      <c r="AA184" s="63">
        <f>($L184+SUM($W184:Z184))*(S$11*S184)</f>
        <v>4.912706582033591</v>
      </c>
      <c r="AB184" s="63">
        <f>($L184+SUM($W184:AA184))*(T$11*T184)</f>
        <v>5.151591030638141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92"/>
        <v>13.82933327294571</v>
      </c>
    </row>
    <row r="185" spans="1:31" ht="12.75">
      <c r="A185" s="16">
        <v>10</v>
      </c>
      <c r="B185" s="15">
        <f t="shared" si="163"/>
        <v>43009</v>
      </c>
      <c r="C185" s="243">
        <f t="shared" si="186"/>
        <v>43042</v>
      </c>
      <c r="D185" s="243">
        <f t="shared" si="186"/>
        <v>43059</v>
      </c>
      <c r="E185" s="30" t="s">
        <v>220</v>
      </c>
      <c r="F185" s="3">
        <v>9</v>
      </c>
      <c r="G185" s="359">
        <f>+'[2]Load WS'!$N$24</f>
        <v>30</v>
      </c>
      <c r="H185" s="246">
        <f t="shared" si="197"/>
        <v>1651.41</v>
      </c>
      <c r="I185" s="246">
        <f t="shared" si="196"/>
        <v>1666.38</v>
      </c>
      <c r="J185" s="56">
        <f t="shared" si="164"/>
        <v>49991.4</v>
      </c>
      <c r="K185" s="74">
        <f t="shared" si="140"/>
        <v>49542.3</v>
      </c>
      <c r="L185" s="77">
        <f t="shared" si="193"/>
        <v>449.09999999999854</v>
      </c>
      <c r="M185" s="75">
        <f t="shared" si="142"/>
        <v>11.406816323369451</v>
      </c>
      <c r="N185" s="76">
        <f t="shared" si="194"/>
        <v>460.506816323368</v>
      </c>
      <c r="O185" s="16">
        <f t="shared" si="188"/>
        <v>0</v>
      </c>
      <c r="P185" s="16">
        <f t="shared" si="188"/>
        <v>0</v>
      </c>
      <c r="Q185" s="16">
        <f t="shared" si="188"/>
        <v>0</v>
      </c>
      <c r="R185" s="16">
        <f t="shared" si="189"/>
        <v>42</v>
      </c>
      <c r="S185" s="16">
        <f t="shared" si="189"/>
        <v>90</v>
      </c>
      <c r="T185" s="16">
        <f t="shared" si="189"/>
        <v>91</v>
      </c>
      <c r="U185" s="16">
        <f t="shared" si="189"/>
        <v>0</v>
      </c>
      <c r="V185" s="106">
        <f t="shared" si="190"/>
        <v>0</v>
      </c>
      <c r="W185" s="141">
        <f t="shared" si="191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2.0033551232876645</v>
      </c>
      <c r="AA185" s="63">
        <f>($L185+SUM($W185:Z185))*(S$11*S185)</f>
        <v>4.590131125829822</v>
      </c>
      <c r="AB185" s="63">
        <f>($L185+SUM($W185:AA185))*(T$11*T185)</f>
        <v>4.813330074251964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92"/>
        <v>11.406816323369451</v>
      </c>
    </row>
    <row r="186" spans="1:31" ht="12.75">
      <c r="A186" s="3">
        <v>11</v>
      </c>
      <c r="B186" s="15">
        <f t="shared" si="163"/>
        <v>43040</v>
      </c>
      <c r="C186" s="243">
        <f t="shared" si="186"/>
        <v>43074</v>
      </c>
      <c r="D186" s="243">
        <f t="shared" si="186"/>
        <v>43089</v>
      </c>
      <c r="E186" s="30" t="s">
        <v>220</v>
      </c>
      <c r="F186" s="3">
        <v>9</v>
      </c>
      <c r="G186" s="359">
        <f>+'[2]Load WS'!$O$24</f>
        <v>20</v>
      </c>
      <c r="H186" s="246">
        <f t="shared" si="197"/>
        <v>1651.41</v>
      </c>
      <c r="I186" s="246">
        <f t="shared" si="196"/>
        <v>1666.38</v>
      </c>
      <c r="J186" s="56">
        <f t="shared" si="164"/>
        <v>33327.600000000006</v>
      </c>
      <c r="K186" s="74">
        <f t="shared" si="140"/>
        <v>33028.200000000004</v>
      </c>
      <c r="L186" s="77">
        <f t="shared" si="193"/>
        <v>299.40000000000146</v>
      </c>
      <c r="M186" s="75">
        <f t="shared" si="142"/>
        <v>6.630679453069009</v>
      </c>
      <c r="N186" s="76">
        <f t="shared" si="194"/>
        <v>306.0306794530705</v>
      </c>
      <c r="O186" s="16">
        <f t="shared" si="188"/>
        <v>0</v>
      </c>
      <c r="P186" s="16">
        <f t="shared" si="188"/>
        <v>0</v>
      </c>
      <c r="Q186" s="16">
        <f t="shared" si="188"/>
        <v>0</v>
      </c>
      <c r="R186" s="16">
        <f t="shared" si="189"/>
        <v>12</v>
      </c>
      <c r="S186" s="16">
        <f t="shared" si="189"/>
        <v>90</v>
      </c>
      <c r="T186" s="16">
        <f t="shared" si="189"/>
        <v>91</v>
      </c>
      <c r="U186" s="16">
        <f t="shared" si="189"/>
        <v>0</v>
      </c>
      <c r="V186" s="106">
        <f t="shared" si="190"/>
        <v>0</v>
      </c>
      <c r="W186" s="141">
        <f t="shared" si="191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0.38159145205479633</v>
      </c>
      <c r="AA186" s="63">
        <f>($L186+SUM($W186:Z186))*(S$11*S186)</f>
        <v>3.0503803579532516</v>
      </c>
      <c r="AB186" s="63">
        <f>($L186+SUM($W186:AA186))*(T$11*T186)</f>
        <v>3.1987076430609602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92"/>
        <v>6.630679453069009</v>
      </c>
    </row>
    <row r="187" spans="1:31" s="69" customFormat="1" ht="12.75">
      <c r="A187" s="3">
        <v>12</v>
      </c>
      <c r="B187" s="83">
        <f t="shared" si="163"/>
        <v>43070</v>
      </c>
      <c r="C187" s="243">
        <f t="shared" si="186"/>
        <v>43104</v>
      </c>
      <c r="D187" s="243">
        <f t="shared" si="186"/>
        <v>43119</v>
      </c>
      <c r="E187" s="84" t="s">
        <v>220</v>
      </c>
      <c r="F187" s="81">
        <v>9</v>
      </c>
      <c r="G187" s="360">
        <f>+'[2]Load WS'!$P$24</f>
        <v>21</v>
      </c>
      <c r="H187" s="247">
        <f t="shared" si="197"/>
        <v>1651.41</v>
      </c>
      <c r="I187" s="247">
        <f t="shared" si="196"/>
        <v>1666.38</v>
      </c>
      <c r="J187" s="85">
        <f t="shared" si="164"/>
        <v>34993.98</v>
      </c>
      <c r="K187" s="86">
        <f t="shared" si="140"/>
        <v>34679.61</v>
      </c>
      <c r="L187" s="87">
        <f t="shared" si="193"/>
        <v>314.3700000000026</v>
      </c>
      <c r="M187" s="88">
        <f t="shared" si="142"/>
        <v>5.906668135990838</v>
      </c>
      <c r="N187" s="89">
        <f t="shared" si="194"/>
        <v>320.2766681359935</v>
      </c>
      <c r="O187" s="81">
        <f t="shared" si="188"/>
        <v>0</v>
      </c>
      <c r="P187" s="81">
        <f t="shared" si="188"/>
        <v>0</v>
      </c>
      <c r="Q187" s="81">
        <f t="shared" si="188"/>
        <v>0</v>
      </c>
      <c r="R187" s="81">
        <f t="shared" si="189"/>
        <v>0</v>
      </c>
      <c r="S187" s="81">
        <f t="shared" si="189"/>
        <v>72</v>
      </c>
      <c r="T187" s="81">
        <f t="shared" si="189"/>
        <v>91</v>
      </c>
      <c r="U187" s="81">
        <f t="shared" si="189"/>
        <v>0</v>
      </c>
      <c r="V187" s="107">
        <f t="shared" si="190"/>
        <v>0</v>
      </c>
      <c r="W187" s="142">
        <f t="shared" si="191"/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2.5590579287671447</v>
      </c>
      <c r="AB187" s="90">
        <f>($L187+SUM($W187:AA187))*(T$11*T187)</f>
        <v>3.347610207223693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92"/>
        <v>5.906668135990838</v>
      </c>
    </row>
    <row r="188" spans="1:31" ht="12.75">
      <c r="A188" s="16">
        <v>1</v>
      </c>
      <c r="B188" s="15">
        <f t="shared" si="163"/>
        <v>42736</v>
      </c>
      <c r="C188" s="242">
        <f aca="true" t="shared" si="198" ref="C188:D211">+C176</f>
        <v>42769</v>
      </c>
      <c r="D188" s="242">
        <f t="shared" si="198"/>
        <v>42786</v>
      </c>
      <c r="E188" s="118" t="s">
        <v>221</v>
      </c>
      <c r="F188" s="16">
        <v>9</v>
      </c>
      <c r="G188" s="359">
        <f>+'[2]Load WS'!$E$25</f>
        <v>37</v>
      </c>
      <c r="H188" s="246">
        <f aca="true" t="shared" si="199" ref="H188:H193">$K$3</f>
        <v>1623.7</v>
      </c>
      <c r="I188" s="246">
        <f t="shared" si="196"/>
        <v>1666.38</v>
      </c>
      <c r="J188" s="56">
        <f t="shared" si="164"/>
        <v>61656.060000000005</v>
      </c>
      <c r="K188" s="57">
        <f t="shared" si="140"/>
        <v>60076.9</v>
      </c>
      <c r="L188" s="58">
        <f t="shared" si="193"/>
        <v>1579.1600000000035</v>
      </c>
      <c r="M188" s="55">
        <f t="shared" si="142"/>
        <v>84.29629935751387</v>
      </c>
      <c r="N188" s="29">
        <f t="shared" si="194"/>
        <v>1663.4562993575173</v>
      </c>
      <c r="O188" s="16">
        <f aca="true" t="shared" si="200" ref="O188:O211">IF($D188&lt;O$8,O$12,IF($D188&lt;P$8,P$8-$D188,0))</f>
        <v>40</v>
      </c>
      <c r="P188" s="16">
        <f aca="true" t="shared" si="201" ref="P188:P211">IF($D188&lt;P$8,P$12,IF($D188&lt;Q$8,Q$8-$D188,0))</f>
        <v>91</v>
      </c>
      <c r="Q188" s="16">
        <f aca="true" t="shared" si="202" ref="Q188:Q211">IF($D188&lt;Q$8,Q$12,IF($D188&lt;R$8,R$8-$D188,0))</f>
        <v>92</v>
      </c>
      <c r="R188" s="16">
        <f t="shared" si="189"/>
        <v>92</v>
      </c>
      <c r="S188" s="16">
        <f t="shared" si="189"/>
        <v>90</v>
      </c>
      <c r="T188" s="16">
        <f t="shared" si="189"/>
        <v>91</v>
      </c>
      <c r="U188" s="16">
        <f t="shared" si="189"/>
        <v>0</v>
      </c>
      <c r="V188" s="106">
        <f>IF(W$8&lt;V$8,0,IF($D188&lt;V$8,V$12,IF($D188&lt;W$8,W$8-$D188,0)))</f>
        <v>0</v>
      </c>
      <c r="W188" s="141">
        <f>$L188*O$11*O188</f>
        <v>6.057052054794535</v>
      </c>
      <c r="X188" s="63">
        <f>($L188+SUM($W188:W188))*(P$11*P188)</f>
        <v>13.832647426834333</v>
      </c>
      <c r="Y188" s="63">
        <f>($L188+SUM($W188:X188))*(Q$11*Q188)</f>
        <v>14.670952420887916</v>
      </c>
      <c r="Z188" s="63">
        <f>($L188+SUM($W188:Y188))*(R$11*R188)</f>
        <v>15.768187659448587</v>
      </c>
      <c r="AA188" s="63">
        <f>($L188+SUM($W188:Z188))*(S$11*S188)</f>
        <v>16.58060698666617</v>
      </c>
      <c r="AB188" s="63">
        <f>($L188+SUM($W188:AA188))*(T$11*T188)</f>
        <v>17.386852808882345</v>
      </c>
      <c r="AC188" s="63">
        <f>($L188+SUM($W188:AB188))*(U$11*U188)</f>
        <v>0</v>
      </c>
      <c r="AD188" s="63">
        <f>($L188+SUM($W188:AC188))*(V$11*V188)</f>
        <v>0</v>
      </c>
      <c r="AE188" s="110">
        <f aca="true" t="shared" si="203" ref="AE188:AE211">SUM(W188:AD188)</f>
        <v>84.29629935751387</v>
      </c>
    </row>
    <row r="189" spans="1:31" ht="12.75">
      <c r="A189" s="3">
        <v>2</v>
      </c>
      <c r="B189" s="15">
        <f t="shared" si="163"/>
        <v>42767</v>
      </c>
      <c r="C189" s="243">
        <f t="shared" si="198"/>
        <v>42797</v>
      </c>
      <c r="D189" s="243">
        <f t="shared" si="198"/>
        <v>42814</v>
      </c>
      <c r="E189" s="70" t="s">
        <v>221</v>
      </c>
      <c r="F189" s="3">
        <v>9</v>
      </c>
      <c r="G189" s="359">
        <f>+'[2]Load WS'!$F$25</f>
        <v>39</v>
      </c>
      <c r="H189" s="246">
        <f t="shared" si="199"/>
        <v>1623.7</v>
      </c>
      <c r="I189" s="246">
        <f t="shared" si="196"/>
        <v>1666.38</v>
      </c>
      <c r="J189" s="56">
        <f t="shared" si="164"/>
        <v>64988.82000000001</v>
      </c>
      <c r="K189" s="57">
        <f t="shared" si="140"/>
        <v>63324.3</v>
      </c>
      <c r="L189" s="58">
        <f t="shared" si="193"/>
        <v>1664.520000000004</v>
      </c>
      <c r="M189" s="55">
        <f t="shared" si="142"/>
        <v>84.16315793828089</v>
      </c>
      <c r="N189" s="29">
        <f t="shared" si="194"/>
        <v>1748.683157938285</v>
      </c>
      <c r="O189" s="16">
        <f t="shared" si="200"/>
        <v>12</v>
      </c>
      <c r="P189" s="16">
        <f t="shared" si="201"/>
        <v>91</v>
      </c>
      <c r="Q189" s="16">
        <f t="shared" si="202"/>
        <v>92</v>
      </c>
      <c r="R189" s="16">
        <f t="shared" si="189"/>
        <v>92</v>
      </c>
      <c r="S189" s="16">
        <f t="shared" si="189"/>
        <v>90</v>
      </c>
      <c r="T189" s="16">
        <f t="shared" si="189"/>
        <v>91</v>
      </c>
      <c r="U189" s="16">
        <f t="shared" si="189"/>
        <v>0</v>
      </c>
      <c r="V189" s="106">
        <f aca="true" t="shared" si="204" ref="V189:V199">IF(W$8&lt;V$8,0,IF($D189&lt;V$8,V$12,IF($D189&lt;W$8,W$8-$D189,0)))</f>
        <v>0</v>
      </c>
      <c r="W189" s="141">
        <f aca="true" t="shared" si="205" ref="W189:W199">$L189*O$11*O189</f>
        <v>1.9153380821917856</v>
      </c>
      <c r="X189" s="63">
        <f>($L189+SUM($W189:W189))*(P$11*P189)</f>
        <v>14.541360415867928</v>
      </c>
      <c r="Y189" s="63">
        <f>($L189+SUM($W189:X189))*(Q$11*Q189)</f>
        <v>15.422615802548808</v>
      </c>
      <c r="Z189" s="63">
        <f>($L189+SUM($W189:Y189))*(R$11*R189)</f>
        <v>16.576067674238203</v>
      </c>
      <c r="AA189" s="63">
        <f>($L189+SUM($W189:Z189))*(S$11*S189)</f>
        <v>17.43011114699889</v>
      </c>
      <c r="AB189" s="63">
        <f>($L189+SUM($W189:AA189))*(T$11*T189)</f>
        <v>18.277664816435276</v>
      </c>
      <c r="AC189" s="63">
        <f>($L189+SUM($W189:AB189))*(U$11*U189)</f>
        <v>0</v>
      </c>
      <c r="AD189" s="63">
        <f>($L189+SUM($W189:AC189))*(V$11*V189)</f>
        <v>0</v>
      </c>
      <c r="AE189" s="110">
        <f t="shared" si="203"/>
        <v>84.16315793828089</v>
      </c>
    </row>
    <row r="190" spans="1:31" ht="12.75">
      <c r="A190" s="3">
        <v>3</v>
      </c>
      <c r="B190" s="15">
        <f t="shared" si="163"/>
        <v>42795</v>
      </c>
      <c r="C190" s="243">
        <f t="shared" si="198"/>
        <v>42830</v>
      </c>
      <c r="D190" s="243">
        <f t="shared" si="198"/>
        <v>42845</v>
      </c>
      <c r="E190" s="70" t="s">
        <v>221</v>
      </c>
      <c r="F190" s="3">
        <v>9</v>
      </c>
      <c r="G190" s="359">
        <f>+'[2]Load WS'!$G$25</f>
        <v>40</v>
      </c>
      <c r="H190" s="246">
        <f t="shared" si="199"/>
        <v>1623.7</v>
      </c>
      <c r="I190" s="246">
        <f t="shared" si="196"/>
        <v>1666.38</v>
      </c>
      <c r="J190" s="56">
        <f t="shared" si="164"/>
        <v>66655.20000000001</v>
      </c>
      <c r="K190" s="57">
        <f t="shared" si="140"/>
        <v>64948</v>
      </c>
      <c r="L190" s="58">
        <f>+J190-K190</f>
        <v>1707.2000000000116</v>
      </c>
      <c r="M190" s="55">
        <f t="shared" si="142"/>
        <v>81.02412381405503</v>
      </c>
      <c r="N190" s="29">
        <f>SUM(L190:M190)</f>
        <v>1788.2241238140666</v>
      </c>
      <c r="O190" s="16">
        <f t="shared" si="200"/>
        <v>0</v>
      </c>
      <c r="P190" s="16">
        <f t="shared" si="201"/>
        <v>72</v>
      </c>
      <c r="Q190" s="16">
        <f t="shared" si="202"/>
        <v>92</v>
      </c>
      <c r="R190" s="16">
        <f t="shared" si="189"/>
        <v>92</v>
      </c>
      <c r="S190" s="16">
        <f t="shared" si="189"/>
        <v>90</v>
      </c>
      <c r="T190" s="16">
        <f t="shared" si="189"/>
        <v>91</v>
      </c>
      <c r="U190" s="16">
        <f t="shared" si="189"/>
        <v>0</v>
      </c>
      <c r="V190" s="106">
        <f t="shared" si="204"/>
        <v>0</v>
      </c>
      <c r="W190" s="141">
        <f t="shared" si="205"/>
        <v>0</v>
      </c>
      <c r="X190" s="63">
        <f>($L190+SUM($W190:W190))*(P$11*P190)</f>
        <v>11.78669589041104</v>
      </c>
      <c r="Y190" s="63">
        <f>($L190+SUM($W190:X190))*(Q$11*Q190)</f>
        <v>15.771349718350264</v>
      </c>
      <c r="Z190" s="63">
        <f>($L190+SUM($W190:Y190))*(R$11*R190)</f>
        <v>16.95088327378596</v>
      </c>
      <c r="AA190" s="63">
        <f>($L190+SUM($W190:Z190))*(S$11*S190)</f>
        <v>17.824238251698148</v>
      </c>
      <c r="AB190" s="63">
        <f>($L190+SUM($W190:AA190))*(T$11*T190)</f>
        <v>18.69095667980962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3"/>
        <v>81.02412381405503</v>
      </c>
    </row>
    <row r="191" spans="1:31" ht="12.75">
      <c r="A191" s="16">
        <v>4</v>
      </c>
      <c r="B191" s="15">
        <f t="shared" si="163"/>
        <v>42826</v>
      </c>
      <c r="C191" s="243">
        <f t="shared" si="198"/>
        <v>42858</v>
      </c>
      <c r="D191" s="243">
        <f t="shared" si="198"/>
        <v>42873</v>
      </c>
      <c r="E191" s="30" t="s">
        <v>221</v>
      </c>
      <c r="F191" s="3">
        <v>9</v>
      </c>
      <c r="G191" s="359">
        <f>+'[2]Load WS'!$H$25</f>
        <v>40</v>
      </c>
      <c r="H191" s="246">
        <f t="shared" si="199"/>
        <v>1623.7</v>
      </c>
      <c r="I191" s="246">
        <f t="shared" si="196"/>
        <v>1666.38</v>
      </c>
      <c r="J191" s="56">
        <f t="shared" si="164"/>
        <v>66655.20000000001</v>
      </c>
      <c r="K191" s="57">
        <f t="shared" si="140"/>
        <v>64948</v>
      </c>
      <c r="L191" s="58">
        <f aca="true" t="shared" si="206" ref="L191:L201">+J191-K191</f>
        <v>1707.2000000000116</v>
      </c>
      <c r="M191" s="55">
        <f t="shared" si="142"/>
        <v>76.25578565194742</v>
      </c>
      <c r="N191" s="29">
        <f aca="true" t="shared" si="207" ref="N191:N201">SUM(L191:M191)</f>
        <v>1783.455785651959</v>
      </c>
      <c r="O191" s="16">
        <f aca="true" t="shared" si="208" ref="O191:U191">IF($D191&lt;O$8,O$12,IF($D191&lt;P$8,P$8-$D191,0))</f>
        <v>0</v>
      </c>
      <c r="P191" s="16">
        <f t="shared" si="208"/>
        <v>44</v>
      </c>
      <c r="Q191" s="16">
        <f t="shared" si="208"/>
        <v>92</v>
      </c>
      <c r="R191" s="16">
        <f t="shared" si="208"/>
        <v>92</v>
      </c>
      <c r="S191" s="16">
        <f t="shared" si="208"/>
        <v>90</v>
      </c>
      <c r="T191" s="16">
        <f t="shared" si="208"/>
        <v>91</v>
      </c>
      <c r="U191" s="16">
        <f t="shared" si="208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7.202980821917858</v>
      </c>
      <c r="Y191" s="63">
        <f>($L191+SUM($W191:X191))*(Q$11*Q191)</f>
        <v>15.7292950744561</v>
      </c>
      <c r="Z191" s="63">
        <f>($L191+SUM($W191:Y191))*(R$11*R191)</f>
        <v>16.905683378247456</v>
      </c>
      <c r="AA191" s="63">
        <f>($L191+SUM($W191:Z191))*(S$11*S191)</f>
        <v>17.776709536290376</v>
      </c>
      <c r="AB191" s="63">
        <f>($L191+SUM($W191:AA191))*(T$11*T191)</f>
        <v>18.641116841035636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76.25578565194742</v>
      </c>
    </row>
    <row r="192" spans="1:31" ht="12.75">
      <c r="A192" s="3">
        <v>5</v>
      </c>
      <c r="B192" s="15">
        <f t="shared" si="163"/>
        <v>42856</v>
      </c>
      <c r="C192" s="243">
        <f t="shared" si="198"/>
        <v>42891</v>
      </c>
      <c r="D192" s="243">
        <f t="shared" si="198"/>
        <v>42906</v>
      </c>
      <c r="E192" s="30" t="s">
        <v>221</v>
      </c>
      <c r="F192" s="3">
        <v>9</v>
      </c>
      <c r="G192" s="359">
        <f>+'[2]Load WS'!$I$25</f>
        <v>49</v>
      </c>
      <c r="H192" s="246">
        <f t="shared" si="199"/>
        <v>1623.7</v>
      </c>
      <c r="I192" s="246">
        <f t="shared" si="196"/>
        <v>1666.38</v>
      </c>
      <c r="J192" s="56">
        <f t="shared" si="164"/>
        <v>81652.62000000001</v>
      </c>
      <c r="K192" s="57">
        <f t="shared" si="140"/>
        <v>79561.3</v>
      </c>
      <c r="L192" s="58">
        <f t="shared" si="206"/>
        <v>2091.320000000007</v>
      </c>
      <c r="M192" s="55">
        <f t="shared" si="142"/>
        <v>86.52904920209244</v>
      </c>
      <c r="N192" s="29">
        <f t="shared" si="207"/>
        <v>2177.849049202099</v>
      </c>
      <c r="O192" s="16">
        <f t="shared" si="200"/>
        <v>0</v>
      </c>
      <c r="P192" s="16">
        <f t="shared" si="201"/>
        <v>11</v>
      </c>
      <c r="Q192" s="16">
        <f t="shared" si="202"/>
        <v>92</v>
      </c>
      <c r="R192" s="16">
        <f t="shared" si="189"/>
        <v>92</v>
      </c>
      <c r="S192" s="16">
        <f t="shared" si="189"/>
        <v>90</v>
      </c>
      <c r="T192" s="16">
        <f t="shared" si="189"/>
        <v>91</v>
      </c>
      <c r="U192" s="16">
        <f t="shared" si="189"/>
        <v>0</v>
      </c>
      <c r="V192" s="106">
        <f t="shared" si="204"/>
        <v>0</v>
      </c>
      <c r="W192" s="141">
        <f t="shared" si="205"/>
        <v>0</v>
      </c>
      <c r="X192" s="63">
        <f>($L192+SUM($W192:W192))*(P$11*P192)</f>
        <v>2.2059128767123366</v>
      </c>
      <c r="Y192" s="63">
        <f>($L192+SUM($W192:X192))*(Q$11*Q192)</f>
        <v>19.207670074086455</v>
      </c>
      <c r="Z192" s="63">
        <f>($L192+SUM($W192:Y192))*(R$11*R192)</f>
        <v>20.644204789169347</v>
      </c>
      <c r="AA192" s="63">
        <f>($L192+SUM($W192:Z192))*(S$11*S192)</f>
        <v>21.707849599085666</v>
      </c>
      <c r="AB192" s="63">
        <f>($L192+SUM($W192:AA192))*(T$11*T192)</f>
        <v>22.76341186303864</v>
      </c>
      <c r="AC192" s="63">
        <f>($L192+SUM($W192:AB192))*(U$11*U192)</f>
        <v>0</v>
      </c>
      <c r="AD192" s="63">
        <f>($L192+SUM($W192:AC192))*(V$11*V192)</f>
        <v>0</v>
      </c>
      <c r="AE192" s="110">
        <f t="shared" si="203"/>
        <v>86.52904920209244</v>
      </c>
    </row>
    <row r="193" spans="1:31" ht="12.75">
      <c r="A193" s="3">
        <v>6</v>
      </c>
      <c r="B193" s="15">
        <f t="shared" si="163"/>
        <v>42887</v>
      </c>
      <c r="C193" s="243">
        <f t="shared" si="198"/>
        <v>42922</v>
      </c>
      <c r="D193" s="243">
        <f t="shared" si="198"/>
        <v>42937</v>
      </c>
      <c r="E193" s="30" t="s">
        <v>221</v>
      </c>
      <c r="F193" s="3">
        <v>9</v>
      </c>
      <c r="G193" s="359">
        <f>+'[2]Load WS'!$J$25</f>
        <v>53</v>
      </c>
      <c r="H193" s="246">
        <f t="shared" si="199"/>
        <v>1623.7</v>
      </c>
      <c r="I193" s="246">
        <f t="shared" si="196"/>
        <v>1666.38</v>
      </c>
      <c r="J193" s="56">
        <f t="shared" si="164"/>
        <v>88318.14</v>
      </c>
      <c r="K193" s="57">
        <f t="shared" si="140"/>
        <v>86056.1</v>
      </c>
      <c r="L193" s="77">
        <f t="shared" si="206"/>
        <v>2262.0399999999936</v>
      </c>
      <c r="M193" s="78">
        <f t="shared" si="142"/>
        <v>86.45981717190396</v>
      </c>
      <c r="N193" s="76">
        <f t="shared" si="207"/>
        <v>2348.4998171718976</v>
      </c>
      <c r="O193" s="16">
        <f t="shared" si="200"/>
        <v>0</v>
      </c>
      <c r="P193" s="16">
        <f t="shared" si="201"/>
        <v>0</v>
      </c>
      <c r="Q193" s="16">
        <f t="shared" si="202"/>
        <v>72</v>
      </c>
      <c r="R193" s="16">
        <f t="shared" si="189"/>
        <v>92</v>
      </c>
      <c r="S193" s="16">
        <f t="shared" si="189"/>
        <v>90</v>
      </c>
      <c r="T193" s="16">
        <f t="shared" si="189"/>
        <v>91</v>
      </c>
      <c r="U193" s="16">
        <f t="shared" si="189"/>
        <v>0</v>
      </c>
      <c r="V193" s="106">
        <f t="shared" si="204"/>
        <v>0</v>
      </c>
      <c r="W193" s="141">
        <f t="shared" si="205"/>
        <v>0</v>
      </c>
      <c r="X193" s="63">
        <f>($L193+SUM($W193:W193))*(P$11*P193)</f>
        <v>0</v>
      </c>
      <c r="Y193" s="63">
        <f>($L193+SUM($W193:X193))*(Q$11*Q193)</f>
        <v>16.242066936986255</v>
      </c>
      <c r="Z193" s="63">
        <f>($L193+SUM($W193:Y193))*(R$11*R193)</f>
        <v>22.26183269716795</v>
      </c>
      <c r="AA193" s="63">
        <f>($L193+SUM($W193:Z193))*(S$11*S193)</f>
        <v>23.408822036277325</v>
      </c>
      <c r="AB193" s="63">
        <f>($L193+SUM($W193:AA193))*(T$11*T193)</f>
        <v>24.547095501472423</v>
      </c>
      <c r="AC193" s="63">
        <f>($L193+SUM($W193:AB193))*(U$11*U193)</f>
        <v>0</v>
      </c>
      <c r="AD193" s="63">
        <f>($L193+SUM($W193:AC193))*(V$11*V193)</f>
        <v>0</v>
      </c>
      <c r="AE193" s="110">
        <f t="shared" si="203"/>
        <v>86.45981717190396</v>
      </c>
    </row>
    <row r="194" spans="1:31" ht="12.75">
      <c r="A194" s="16">
        <v>7</v>
      </c>
      <c r="B194" s="15">
        <f t="shared" si="163"/>
        <v>42917</v>
      </c>
      <c r="C194" s="243">
        <f t="shared" si="198"/>
        <v>42950</v>
      </c>
      <c r="D194" s="243">
        <f t="shared" si="198"/>
        <v>42965</v>
      </c>
      <c r="E194" s="30" t="s">
        <v>221</v>
      </c>
      <c r="F194" s="3">
        <v>9</v>
      </c>
      <c r="G194" s="359">
        <f>+'[2]Load WS'!$K$25</f>
        <v>55</v>
      </c>
      <c r="H194" s="246">
        <f aca="true" t="shared" si="209" ref="H194:H199">$K$8</f>
        <v>1651.41</v>
      </c>
      <c r="I194" s="246">
        <f t="shared" si="196"/>
        <v>1666.38</v>
      </c>
      <c r="J194" s="56">
        <f t="shared" si="164"/>
        <v>91650.90000000001</v>
      </c>
      <c r="K194" s="74">
        <f t="shared" si="140"/>
        <v>90827.55</v>
      </c>
      <c r="L194" s="77">
        <f t="shared" si="206"/>
        <v>823.3500000000058</v>
      </c>
      <c r="M194" s="75">
        <f t="shared" si="142"/>
        <v>29.100206794013033</v>
      </c>
      <c r="N194" s="76">
        <f t="shared" si="207"/>
        <v>852.4502067940189</v>
      </c>
      <c r="O194" s="16">
        <f t="shared" si="200"/>
        <v>0</v>
      </c>
      <c r="P194" s="16">
        <f t="shared" si="201"/>
        <v>0</v>
      </c>
      <c r="Q194" s="16">
        <f t="shared" si="202"/>
        <v>44</v>
      </c>
      <c r="R194" s="16">
        <f t="shared" si="189"/>
        <v>92</v>
      </c>
      <c r="S194" s="16">
        <f t="shared" si="189"/>
        <v>90</v>
      </c>
      <c r="T194" s="16">
        <f t="shared" si="189"/>
        <v>91</v>
      </c>
      <c r="U194" s="16">
        <f t="shared" si="189"/>
        <v>0</v>
      </c>
      <c r="V194" s="106">
        <f t="shared" si="204"/>
        <v>0</v>
      </c>
      <c r="W194" s="141">
        <f t="shared" si="205"/>
        <v>0</v>
      </c>
      <c r="X194" s="63">
        <f>($L194+SUM($W194:W194))*(P$11*P194)</f>
        <v>0</v>
      </c>
      <c r="Y194" s="63">
        <f>($L194+SUM($W194:X194))*(Q$11*Q194)</f>
        <v>3.6128146849315317</v>
      </c>
      <c r="Z194" s="63">
        <f>($L194+SUM($W194:Y194))*(R$11*R194)</f>
        <v>8.08052176438626</v>
      </c>
      <c r="AA194" s="63">
        <f>($L194+SUM($W194:Z194))*(S$11*S194)</f>
        <v>8.496851922117227</v>
      </c>
      <c r="AB194" s="63">
        <f>($L194+SUM($W194:AA194))*(T$11*T194)</f>
        <v>8.91001842257801</v>
      </c>
      <c r="AC194" s="63">
        <f>($L194+SUM($W194:AB194))*(U$11*U194)</f>
        <v>0</v>
      </c>
      <c r="AD194" s="63">
        <f>($L194+SUM($W194:AC194))*(V$11*V194)</f>
        <v>0</v>
      </c>
      <c r="AE194" s="110">
        <f t="shared" si="203"/>
        <v>29.100206794013033</v>
      </c>
    </row>
    <row r="195" spans="1:31" ht="12.75">
      <c r="A195" s="3">
        <v>8</v>
      </c>
      <c r="B195" s="15">
        <f t="shared" si="163"/>
        <v>42948</v>
      </c>
      <c r="C195" s="243">
        <f t="shared" si="198"/>
        <v>42984</v>
      </c>
      <c r="D195" s="243">
        <f t="shared" si="198"/>
        <v>42999</v>
      </c>
      <c r="E195" s="30" t="s">
        <v>221</v>
      </c>
      <c r="F195" s="3">
        <v>9</v>
      </c>
      <c r="G195" s="359">
        <f>+'[2]Load WS'!$L$25</f>
        <v>47</v>
      </c>
      <c r="H195" s="246">
        <f t="shared" si="209"/>
        <v>1651.41</v>
      </c>
      <c r="I195" s="246">
        <f t="shared" si="196"/>
        <v>1666.38</v>
      </c>
      <c r="J195" s="56">
        <f t="shared" si="164"/>
        <v>78319.86</v>
      </c>
      <c r="K195" s="74">
        <f t="shared" si="140"/>
        <v>77616.27</v>
      </c>
      <c r="L195" s="77">
        <f t="shared" si="206"/>
        <v>703.5899999999965</v>
      </c>
      <c r="M195" s="75">
        <f t="shared" si="142"/>
        <v>22.408270487591967</v>
      </c>
      <c r="N195" s="76">
        <f t="shared" si="207"/>
        <v>725.9982704875885</v>
      </c>
      <c r="O195" s="16">
        <f t="shared" si="200"/>
        <v>0</v>
      </c>
      <c r="P195" s="16">
        <f t="shared" si="201"/>
        <v>0</v>
      </c>
      <c r="Q195" s="16">
        <f t="shared" si="202"/>
        <v>10</v>
      </c>
      <c r="R195" s="16">
        <f t="shared" si="189"/>
        <v>92</v>
      </c>
      <c r="S195" s="16">
        <f t="shared" si="189"/>
        <v>90</v>
      </c>
      <c r="T195" s="16">
        <f t="shared" si="189"/>
        <v>91</v>
      </c>
      <c r="U195" s="16">
        <f t="shared" si="189"/>
        <v>0</v>
      </c>
      <c r="V195" s="106">
        <f t="shared" si="204"/>
        <v>0</v>
      </c>
      <c r="W195" s="141">
        <f t="shared" si="205"/>
        <v>0</v>
      </c>
      <c r="X195" s="63">
        <f>($L195+SUM($W195:W195))*(P$11*P195)</f>
        <v>0</v>
      </c>
      <c r="Y195" s="63">
        <f>($L195+SUM($W195:X195))*(Q$11*Q195)</f>
        <v>0.70166235616438</v>
      </c>
      <c r="Z195" s="63">
        <f>($L195+SUM($W195:Y195))*(R$11*R195)</f>
        <v>6.881862164882172</v>
      </c>
      <c r="AA195" s="63">
        <f>($L195+SUM($W195:Z195))*(S$11*S195)</f>
        <v>7.236434164578504</v>
      </c>
      <c r="AB195" s="63">
        <f>($L195+SUM($W195:AA195))*(T$11*T195)</f>
        <v>7.588311801966911</v>
      </c>
      <c r="AC195" s="63">
        <f>($L195+SUM($W195:AB195))*(U$11*U195)</f>
        <v>0</v>
      </c>
      <c r="AD195" s="63">
        <f>($L195+SUM($W195:AC195))*(V$11*V195)</f>
        <v>0</v>
      </c>
      <c r="AE195" s="110">
        <f t="shared" si="203"/>
        <v>22.408270487591967</v>
      </c>
    </row>
    <row r="196" spans="1:31" ht="12.75">
      <c r="A196" s="3">
        <v>9</v>
      </c>
      <c r="B196" s="15">
        <f t="shared" si="163"/>
        <v>42979</v>
      </c>
      <c r="C196" s="243">
        <f t="shared" si="198"/>
        <v>43012</v>
      </c>
      <c r="D196" s="243">
        <f t="shared" si="198"/>
        <v>43027</v>
      </c>
      <c r="E196" s="30" t="s">
        <v>221</v>
      </c>
      <c r="F196" s="3">
        <v>9</v>
      </c>
      <c r="G196" s="359">
        <f>+'[2]Load WS'!$M$25</f>
        <v>54</v>
      </c>
      <c r="H196" s="246">
        <f t="shared" si="209"/>
        <v>1651.41</v>
      </c>
      <c r="I196" s="246">
        <f t="shared" si="196"/>
        <v>1666.38</v>
      </c>
      <c r="J196" s="56">
        <f t="shared" si="164"/>
        <v>89984.52</v>
      </c>
      <c r="K196" s="74">
        <f t="shared" si="140"/>
        <v>89176.14</v>
      </c>
      <c r="L196" s="77">
        <f t="shared" si="206"/>
        <v>808.3800000000047</v>
      </c>
      <c r="M196" s="75">
        <f t="shared" si="142"/>
        <v>23.33699989809598</v>
      </c>
      <c r="N196" s="76">
        <f t="shared" si="207"/>
        <v>831.7169998981007</v>
      </c>
      <c r="O196" s="16">
        <f t="shared" si="200"/>
        <v>0</v>
      </c>
      <c r="P196" s="16">
        <f t="shared" si="201"/>
        <v>0</v>
      </c>
      <c r="Q196" s="16">
        <f t="shared" si="202"/>
        <v>0</v>
      </c>
      <c r="R196" s="16">
        <f aca="true" t="shared" si="210" ref="R196:R211">IF($D196&lt;R$8,R$12,IF($D196&lt;S$8,S$8-$D196,0))</f>
        <v>74</v>
      </c>
      <c r="S196" s="16">
        <f aca="true" t="shared" si="211" ref="S196:U211">IF($D196&lt;S$8,S$12,IF($D196&lt;T$8,T$8-$D196,0))</f>
        <v>90</v>
      </c>
      <c r="T196" s="16">
        <f t="shared" si="211"/>
        <v>91</v>
      </c>
      <c r="U196" s="16">
        <f t="shared" si="211"/>
        <v>0</v>
      </c>
      <c r="V196" s="106">
        <f t="shared" si="204"/>
        <v>0</v>
      </c>
      <c r="W196" s="141">
        <f t="shared" si="205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6.353497676712364</v>
      </c>
      <c r="AA196" s="63">
        <f>($L196+SUM($W196:Z196))*(S$11*S196)</f>
        <v>8.290192357181716</v>
      </c>
      <c r="AB196" s="63">
        <f>($L196+SUM($W196:AA196))*(T$11*T196)</f>
        <v>8.693309864201897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3"/>
        <v>23.33699989809598</v>
      </c>
    </row>
    <row r="197" spans="1:31" ht="12.75">
      <c r="A197" s="16">
        <v>10</v>
      </c>
      <c r="B197" s="15">
        <f t="shared" si="163"/>
        <v>43009</v>
      </c>
      <c r="C197" s="243">
        <f t="shared" si="198"/>
        <v>43042</v>
      </c>
      <c r="D197" s="243">
        <f t="shared" si="198"/>
        <v>43059</v>
      </c>
      <c r="E197" s="30" t="s">
        <v>221</v>
      </c>
      <c r="F197" s="3">
        <v>9</v>
      </c>
      <c r="G197" s="359">
        <f>+'[2]Load WS'!$N$25</f>
        <v>51</v>
      </c>
      <c r="H197" s="246">
        <f t="shared" si="209"/>
        <v>1651.41</v>
      </c>
      <c r="I197" s="246">
        <f t="shared" si="196"/>
        <v>1666.38</v>
      </c>
      <c r="J197" s="56">
        <f t="shared" si="164"/>
        <v>84985.38</v>
      </c>
      <c r="K197" s="74">
        <f t="shared" si="140"/>
        <v>84221.91</v>
      </c>
      <c r="L197" s="77">
        <f t="shared" si="206"/>
        <v>763.4700000000012</v>
      </c>
      <c r="M197" s="75">
        <f t="shared" si="142"/>
        <v>19.39158774972816</v>
      </c>
      <c r="N197" s="76">
        <f t="shared" si="207"/>
        <v>782.8615877497293</v>
      </c>
      <c r="O197" s="16">
        <f t="shared" si="200"/>
        <v>0</v>
      </c>
      <c r="P197" s="16">
        <f t="shared" si="201"/>
        <v>0</v>
      </c>
      <c r="Q197" s="16">
        <f t="shared" si="202"/>
        <v>0</v>
      </c>
      <c r="R197" s="16">
        <f t="shared" si="210"/>
        <v>42</v>
      </c>
      <c r="S197" s="16">
        <f t="shared" si="211"/>
        <v>90</v>
      </c>
      <c r="T197" s="16">
        <f t="shared" si="211"/>
        <v>91</v>
      </c>
      <c r="U197" s="16">
        <f t="shared" si="211"/>
        <v>0</v>
      </c>
      <c r="V197" s="106">
        <f t="shared" si="204"/>
        <v>0</v>
      </c>
      <c r="W197" s="141">
        <f t="shared" si="205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3.4057037095890457</v>
      </c>
      <c r="AA197" s="63">
        <f>($L197+SUM($W197:Z197))*(S$11*S197)</f>
        <v>7.803222913910734</v>
      </c>
      <c r="AB197" s="63">
        <f>($L197+SUM($W197:AA197))*(T$11*T197)</f>
        <v>8.182661126228378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3"/>
        <v>19.39158774972816</v>
      </c>
    </row>
    <row r="198" spans="1:31" ht="12.75">
      <c r="A198" s="3">
        <v>11</v>
      </c>
      <c r="B198" s="15">
        <f t="shared" si="163"/>
        <v>43040</v>
      </c>
      <c r="C198" s="243">
        <f t="shared" si="198"/>
        <v>43074</v>
      </c>
      <c r="D198" s="243">
        <f t="shared" si="198"/>
        <v>43089</v>
      </c>
      <c r="E198" s="30" t="s">
        <v>221</v>
      </c>
      <c r="F198" s="3">
        <v>9</v>
      </c>
      <c r="G198" s="359">
        <f>+'[2]Load WS'!$O$25</f>
        <v>17</v>
      </c>
      <c r="H198" s="246">
        <f t="shared" si="209"/>
        <v>1651.41</v>
      </c>
      <c r="I198" s="246">
        <f t="shared" si="196"/>
        <v>1666.38</v>
      </c>
      <c r="J198" s="56">
        <f t="shared" si="164"/>
        <v>28328.460000000003</v>
      </c>
      <c r="K198" s="74">
        <f aca="true" t="shared" si="212" ref="K198:K209">+$G198*H198</f>
        <v>28073.97</v>
      </c>
      <c r="L198" s="77">
        <f t="shared" si="206"/>
        <v>254.4900000000016</v>
      </c>
      <c r="M198" s="75">
        <f t="shared" si="142"/>
        <v>5.636077535108665</v>
      </c>
      <c r="N198" s="76">
        <f t="shared" si="207"/>
        <v>260.12607753511026</v>
      </c>
      <c r="O198" s="16">
        <f t="shared" si="200"/>
        <v>0</v>
      </c>
      <c r="P198" s="16">
        <f t="shared" si="201"/>
        <v>0</v>
      </c>
      <c r="Q198" s="16">
        <f t="shared" si="202"/>
        <v>0</v>
      </c>
      <c r="R198" s="16">
        <f t="shared" si="210"/>
        <v>12</v>
      </c>
      <c r="S198" s="16">
        <f t="shared" si="211"/>
        <v>90</v>
      </c>
      <c r="T198" s="16">
        <f t="shared" si="211"/>
        <v>91</v>
      </c>
      <c r="U198" s="16">
        <f t="shared" si="211"/>
        <v>0</v>
      </c>
      <c r="V198" s="106">
        <f t="shared" si="204"/>
        <v>0</v>
      </c>
      <c r="W198" s="141">
        <f t="shared" si="205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0.32435273424657735</v>
      </c>
      <c r="AA198" s="63">
        <f>($L198+SUM($W198:Z198))*(S$11*S198)</f>
        <v>2.5928233042602677</v>
      </c>
      <c r="AB198" s="63">
        <f>($L198+SUM($W198:AA198))*(T$11*T198)</f>
        <v>2.71890149660182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3"/>
        <v>5.636077535108665</v>
      </c>
    </row>
    <row r="199" spans="1:31" s="69" customFormat="1" ht="12.75">
      <c r="A199" s="3">
        <v>12</v>
      </c>
      <c r="B199" s="83">
        <f t="shared" si="163"/>
        <v>43070</v>
      </c>
      <c r="C199" s="243">
        <f t="shared" si="198"/>
        <v>43104</v>
      </c>
      <c r="D199" s="243">
        <f t="shared" si="198"/>
        <v>43119</v>
      </c>
      <c r="E199" s="84" t="s">
        <v>221</v>
      </c>
      <c r="F199" s="81">
        <v>9</v>
      </c>
      <c r="G199" s="360">
        <f>+'[2]Load WS'!$P$25</f>
        <v>36</v>
      </c>
      <c r="H199" s="247">
        <f t="shared" si="209"/>
        <v>1651.41</v>
      </c>
      <c r="I199" s="247">
        <f t="shared" si="196"/>
        <v>1666.38</v>
      </c>
      <c r="J199" s="85">
        <f t="shared" si="164"/>
        <v>59989.68000000001</v>
      </c>
      <c r="K199" s="86">
        <f t="shared" si="212"/>
        <v>59450.76</v>
      </c>
      <c r="L199" s="87">
        <f t="shared" si="206"/>
        <v>538.9200000000055</v>
      </c>
      <c r="M199" s="88">
        <f t="shared" si="142"/>
        <v>10.125716804555742</v>
      </c>
      <c r="N199" s="89">
        <f t="shared" si="207"/>
        <v>549.0457168045613</v>
      </c>
      <c r="O199" s="81">
        <f t="shared" si="200"/>
        <v>0</v>
      </c>
      <c r="P199" s="81">
        <f t="shared" si="201"/>
        <v>0</v>
      </c>
      <c r="Q199" s="81">
        <f t="shared" si="202"/>
        <v>0</v>
      </c>
      <c r="R199" s="81">
        <f t="shared" si="210"/>
        <v>0</v>
      </c>
      <c r="S199" s="81">
        <f t="shared" si="211"/>
        <v>72</v>
      </c>
      <c r="T199" s="81">
        <f t="shared" si="211"/>
        <v>91</v>
      </c>
      <c r="U199" s="81">
        <f t="shared" si="211"/>
        <v>0</v>
      </c>
      <c r="V199" s="107">
        <f t="shared" si="204"/>
        <v>0</v>
      </c>
      <c r="W199" s="142">
        <f t="shared" si="205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4.386956449315114</v>
      </c>
      <c r="AB199" s="90">
        <f>($L199+SUM($W199:AA199))*(T$11*T199)</f>
        <v>5.738760355240628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3"/>
        <v>10.125716804555742</v>
      </c>
    </row>
    <row r="200" spans="1:31" ht="12.75">
      <c r="A200" s="16">
        <v>1</v>
      </c>
      <c r="B200" s="15">
        <f t="shared" si="163"/>
        <v>42736</v>
      </c>
      <c r="C200" s="242">
        <f t="shared" si="198"/>
        <v>42769</v>
      </c>
      <c r="D200" s="242">
        <f t="shared" si="198"/>
        <v>42786</v>
      </c>
      <c r="E200" s="118" t="s">
        <v>139</v>
      </c>
      <c r="F200" s="16">
        <v>9</v>
      </c>
      <c r="G200" s="359">
        <f>+'[2]Load WS'!$E$26</f>
        <v>98</v>
      </c>
      <c r="H200" s="246">
        <f aca="true" t="shared" si="213" ref="H200:H205">$K$3</f>
        <v>1623.7</v>
      </c>
      <c r="I200" s="246">
        <f t="shared" si="196"/>
        <v>1666.38</v>
      </c>
      <c r="J200" s="56">
        <f t="shared" si="164"/>
        <v>163305.24000000002</v>
      </c>
      <c r="K200" s="57">
        <f t="shared" si="212"/>
        <v>159122.6</v>
      </c>
      <c r="L200" s="58">
        <f t="shared" si="206"/>
        <v>4182.640000000014</v>
      </c>
      <c r="M200" s="55">
        <f aca="true" t="shared" si="214" ref="M200:M211">+AE200</f>
        <v>223.27127937936137</v>
      </c>
      <c r="N200" s="29">
        <f t="shared" si="207"/>
        <v>4405.911279379376</v>
      </c>
      <c r="O200" s="16">
        <f t="shared" si="200"/>
        <v>40</v>
      </c>
      <c r="P200" s="16">
        <f t="shared" si="201"/>
        <v>91</v>
      </c>
      <c r="Q200" s="16">
        <f t="shared" si="202"/>
        <v>92</v>
      </c>
      <c r="R200" s="16">
        <f t="shared" si="210"/>
        <v>92</v>
      </c>
      <c r="S200" s="16">
        <f t="shared" si="211"/>
        <v>90</v>
      </c>
      <c r="T200" s="16">
        <f t="shared" si="211"/>
        <v>91</v>
      </c>
      <c r="U200" s="16">
        <f t="shared" si="211"/>
        <v>0</v>
      </c>
      <c r="V200" s="106">
        <f>IF(W$8&lt;V$8,0,IF($D200&lt;V$8,V$12,IF($D200&lt;W$8,W$8-$D200,0)))</f>
        <v>0</v>
      </c>
      <c r="W200" s="141">
        <f>$L200*O$11*O200</f>
        <v>16.04300273972608</v>
      </c>
      <c r="X200" s="63">
        <f>($L200+SUM($W200:W200))*(P$11*P200)</f>
        <v>36.63782291431801</v>
      </c>
      <c r="Y200" s="63">
        <f>($L200+SUM($W200:X200))*(Q$11*Q200)</f>
        <v>38.858198303973445</v>
      </c>
      <c r="Z200" s="63">
        <f>($L200+SUM($W200:Y200))*(R$11*R200)</f>
        <v>41.76438893583685</v>
      </c>
      <c r="AA200" s="63">
        <f>($L200+SUM($W200:Z200))*(S$11*S200)</f>
        <v>43.91620228900774</v>
      </c>
      <c r="AB200" s="63">
        <f>($L200+SUM($W200:AA200))*(T$11*T200)</f>
        <v>46.05166419649924</v>
      </c>
      <c r="AC200" s="63">
        <f>($L200+SUM($W200:AB200))*(U$11*U200)</f>
        <v>0</v>
      </c>
      <c r="AD200" s="63">
        <f>($L200+SUM($W200:AC200))*(V$11*V200)</f>
        <v>0</v>
      </c>
      <c r="AE200" s="110">
        <f t="shared" si="203"/>
        <v>223.27127937936137</v>
      </c>
    </row>
    <row r="201" spans="1:31" ht="12.75">
      <c r="A201" s="3">
        <v>2</v>
      </c>
      <c r="B201" s="15">
        <f t="shared" si="163"/>
        <v>42767</v>
      </c>
      <c r="C201" s="243">
        <f t="shared" si="198"/>
        <v>42797</v>
      </c>
      <c r="D201" s="243">
        <f t="shared" si="198"/>
        <v>42814</v>
      </c>
      <c r="E201" s="70" t="s">
        <v>139</v>
      </c>
      <c r="F201" s="3">
        <v>9</v>
      </c>
      <c r="G201" s="359">
        <f>+'[2]Load WS'!$F$26</f>
        <v>98</v>
      </c>
      <c r="H201" s="246">
        <f t="shared" si="213"/>
        <v>1623.7</v>
      </c>
      <c r="I201" s="246">
        <f t="shared" si="196"/>
        <v>1666.38</v>
      </c>
      <c r="J201" s="56">
        <f t="shared" si="164"/>
        <v>163305.24000000002</v>
      </c>
      <c r="K201" s="57">
        <f t="shared" si="212"/>
        <v>159122.6</v>
      </c>
      <c r="L201" s="58">
        <f t="shared" si="206"/>
        <v>4182.640000000014</v>
      </c>
      <c r="M201" s="55">
        <f t="shared" si="214"/>
        <v>211.48690969106497</v>
      </c>
      <c r="N201" s="29">
        <f t="shared" si="207"/>
        <v>4394.126909691079</v>
      </c>
      <c r="O201" s="16">
        <f aca="true" t="shared" si="215" ref="O201:U201">IF($D201&lt;O$8,O$12,IF($D201&lt;P$8,P$8-$D201,0))</f>
        <v>12</v>
      </c>
      <c r="P201" s="16">
        <f t="shared" si="215"/>
        <v>91</v>
      </c>
      <c r="Q201" s="16">
        <f t="shared" si="215"/>
        <v>92</v>
      </c>
      <c r="R201" s="16">
        <f t="shared" si="215"/>
        <v>92</v>
      </c>
      <c r="S201" s="16">
        <f t="shared" si="215"/>
        <v>90</v>
      </c>
      <c r="T201" s="16">
        <f t="shared" si="215"/>
        <v>91</v>
      </c>
      <c r="U201" s="16">
        <f t="shared" si="215"/>
        <v>0</v>
      </c>
      <c r="V201" s="106">
        <f>IF(W$8&lt;V$8,0,IF($D201&lt;V$8,V$12,IF($D201&lt;W$8,W$8-$D201,0)))</f>
        <v>0</v>
      </c>
      <c r="W201" s="141">
        <f>$L201*O$11*O201</f>
        <v>4.812900821917824</v>
      </c>
      <c r="X201" s="63">
        <f>($L201+SUM($W201:W201))*(P$11*P201)</f>
        <v>36.539828737309186</v>
      </c>
      <c r="Y201" s="63">
        <f>($L201+SUM($W201:X201))*(Q$11*Q201)</f>
        <v>38.75426534999447</v>
      </c>
      <c r="Z201" s="63">
        <f>($L201+SUM($W201:Y201))*(R$11*R201)</f>
        <v>41.6526828737268</v>
      </c>
      <c r="AA201" s="63">
        <f>($L201+SUM($W201:Z201))*(S$11*S201)</f>
        <v>43.79874083092033</v>
      </c>
      <c r="AB201" s="63">
        <f>($L201+SUM($W201:AA201))*(T$11*T201)</f>
        <v>45.92849107719637</v>
      </c>
      <c r="AC201" s="63">
        <f>($L201+SUM($W201:AB201))*(U$11*U201)</f>
        <v>0</v>
      </c>
      <c r="AD201" s="63">
        <f>($L201+SUM($W201:AC201))*(V$11*V201)</f>
        <v>0</v>
      </c>
      <c r="AE201" s="110">
        <f>SUM(W201:AD201)</f>
        <v>211.48690969106497</v>
      </c>
    </row>
    <row r="202" spans="1:31" ht="12.75">
      <c r="A202" s="3">
        <v>3</v>
      </c>
      <c r="B202" s="15">
        <f t="shared" si="163"/>
        <v>42795</v>
      </c>
      <c r="C202" s="243">
        <f t="shared" si="198"/>
        <v>42830</v>
      </c>
      <c r="D202" s="243">
        <f t="shared" si="198"/>
        <v>42845</v>
      </c>
      <c r="E202" s="70" t="s">
        <v>139</v>
      </c>
      <c r="F202" s="3">
        <v>9</v>
      </c>
      <c r="G202" s="359">
        <f>+'[2]Load WS'!$G$26</f>
        <v>95</v>
      </c>
      <c r="H202" s="246">
        <f t="shared" si="213"/>
        <v>1623.7</v>
      </c>
      <c r="I202" s="246">
        <f t="shared" si="196"/>
        <v>1666.38</v>
      </c>
      <c r="J202" s="56">
        <f t="shared" si="164"/>
        <v>158306.1</v>
      </c>
      <c r="K202" s="57">
        <f t="shared" si="212"/>
        <v>154251.5</v>
      </c>
      <c r="L202" s="58">
        <f>+J202-K202</f>
        <v>4054.600000000006</v>
      </c>
      <c r="M202" s="55">
        <f t="shared" si="214"/>
        <v>192.43229405837965</v>
      </c>
      <c r="N202" s="29">
        <f>SUM(L202:M202)</f>
        <v>4247.032294058386</v>
      </c>
      <c r="O202" s="16">
        <f t="shared" si="200"/>
        <v>0</v>
      </c>
      <c r="P202" s="16">
        <f t="shared" si="201"/>
        <v>72</v>
      </c>
      <c r="Q202" s="16">
        <f t="shared" si="202"/>
        <v>92</v>
      </c>
      <c r="R202" s="16">
        <f t="shared" si="210"/>
        <v>92</v>
      </c>
      <c r="S202" s="16">
        <f t="shared" si="211"/>
        <v>90</v>
      </c>
      <c r="T202" s="16">
        <f t="shared" si="211"/>
        <v>91</v>
      </c>
      <c r="U202" s="16">
        <f t="shared" si="211"/>
        <v>0</v>
      </c>
      <c r="V202" s="106">
        <f aca="true" t="shared" si="216" ref="V202:V211">IF(W$8&lt;V$8,0,IF($D202&lt;V$8,V$12,IF($D202&lt;W$8,W$8-$D202,0)))</f>
        <v>0</v>
      </c>
      <c r="W202" s="141">
        <f aca="true" t="shared" si="217" ref="W202:W211">$L202*O$11*O202</f>
        <v>0</v>
      </c>
      <c r="X202" s="63">
        <f>($L202+SUM($W202:W202))*(P$11*P202)</f>
        <v>27.993402739726072</v>
      </c>
      <c r="Y202" s="63">
        <f>($L202+SUM($W202:X202))*(Q$11*Q202)</f>
        <v>37.45695558108168</v>
      </c>
      <c r="Z202" s="63">
        <f>($L202+SUM($W202:Y202))*(R$11*R202)</f>
        <v>40.25834777524143</v>
      </c>
      <c r="AA202" s="63">
        <f>($L202+SUM($W202:Z202))*(S$11*S202)</f>
        <v>42.332565847782874</v>
      </c>
      <c r="AB202" s="63">
        <f>($L202+SUM($W202:AA202))*(T$11*T202)</f>
        <v>44.3910221145476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03"/>
        <v>192.43229405837965</v>
      </c>
    </row>
    <row r="203" spans="1:31" ht="12.75">
      <c r="A203" s="16">
        <v>4</v>
      </c>
      <c r="B203" s="15">
        <f t="shared" si="163"/>
        <v>42826</v>
      </c>
      <c r="C203" s="243">
        <f t="shared" si="198"/>
        <v>42858</v>
      </c>
      <c r="D203" s="243">
        <f t="shared" si="198"/>
        <v>42873</v>
      </c>
      <c r="E203" s="70" t="s">
        <v>139</v>
      </c>
      <c r="F203" s="3">
        <v>9</v>
      </c>
      <c r="G203" s="359">
        <f>+'[2]Load WS'!$H$26</f>
        <v>99</v>
      </c>
      <c r="H203" s="246">
        <f t="shared" si="213"/>
        <v>1623.7</v>
      </c>
      <c r="I203" s="246">
        <f t="shared" si="196"/>
        <v>1666.38</v>
      </c>
      <c r="J203" s="56">
        <f t="shared" si="164"/>
        <v>164971.62000000002</v>
      </c>
      <c r="K203" s="57">
        <f t="shared" si="212"/>
        <v>160746.30000000002</v>
      </c>
      <c r="L203" s="58">
        <f aca="true" t="shared" si="218" ref="L203:L211">+J203-K203</f>
        <v>4225.320000000007</v>
      </c>
      <c r="M203" s="55">
        <f t="shared" si="214"/>
        <v>188.7330694885689</v>
      </c>
      <c r="N203" s="29">
        <f aca="true" t="shared" si="219" ref="N203:N211">SUM(L203:M203)</f>
        <v>4414.053069488576</v>
      </c>
      <c r="O203" s="16">
        <f t="shared" si="200"/>
        <v>0</v>
      </c>
      <c r="P203" s="16">
        <f t="shared" si="201"/>
        <v>44</v>
      </c>
      <c r="Q203" s="16">
        <f t="shared" si="202"/>
        <v>92</v>
      </c>
      <c r="R203" s="16">
        <f t="shared" si="210"/>
        <v>92</v>
      </c>
      <c r="S203" s="16">
        <f t="shared" si="211"/>
        <v>90</v>
      </c>
      <c r="T203" s="16">
        <f t="shared" si="211"/>
        <v>91</v>
      </c>
      <c r="U203" s="16">
        <f t="shared" si="211"/>
        <v>0</v>
      </c>
      <c r="V203" s="106">
        <f t="shared" si="216"/>
        <v>0</v>
      </c>
      <c r="W203" s="141">
        <f t="shared" si="217"/>
        <v>0</v>
      </c>
      <c r="X203" s="63">
        <f>($L203+SUM($W203:W203))*(P$11*P203)</f>
        <v>17.827377534246608</v>
      </c>
      <c r="Y203" s="63">
        <f>($L203+SUM($W203:X203))*(Q$11*Q203)</f>
        <v>38.93000530927865</v>
      </c>
      <c r="Z203" s="63">
        <f>($L203+SUM($W203:Y203))*(R$11*R203)</f>
        <v>41.841566361162236</v>
      </c>
      <c r="AA203" s="63">
        <f>($L203+SUM($W203:Z203))*(S$11*S203)</f>
        <v>43.99735610231845</v>
      </c>
      <c r="AB203" s="63">
        <f>($L203+SUM($W203:AA203))*(T$11*T203)</f>
        <v>46.13676418156297</v>
      </c>
      <c r="AC203" s="63">
        <f>($L203+SUM($W203:AB203))*(U$11*U203)</f>
        <v>0</v>
      </c>
      <c r="AD203" s="63">
        <f>($L203+SUM($W203:AC203))*(V$11*V203)</f>
        <v>0</v>
      </c>
      <c r="AE203" s="110">
        <f t="shared" si="203"/>
        <v>188.7330694885689</v>
      </c>
    </row>
    <row r="204" spans="1:31" ht="12.75">
      <c r="A204" s="3">
        <v>5</v>
      </c>
      <c r="B204" s="15">
        <f t="shared" si="163"/>
        <v>42856</v>
      </c>
      <c r="C204" s="243">
        <f t="shared" si="198"/>
        <v>42891</v>
      </c>
      <c r="D204" s="243">
        <f t="shared" si="198"/>
        <v>42906</v>
      </c>
      <c r="E204" s="30" t="s">
        <v>139</v>
      </c>
      <c r="F204" s="3">
        <v>9</v>
      </c>
      <c r="G204" s="359">
        <f>+'[2]Load WS'!$I$26</f>
        <v>103</v>
      </c>
      <c r="H204" s="246">
        <f t="shared" si="213"/>
        <v>1623.7</v>
      </c>
      <c r="I204" s="246">
        <f t="shared" si="196"/>
        <v>1666.38</v>
      </c>
      <c r="J204" s="56">
        <f t="shared" si="164"/>
        <v>171637.14</v>
      </c>
      <c r="K204" s="57">
        <f t="shared" si="212"/>
        <v>167241.1</v>
      </c>
      <c r="L204" s="58">
        <f t="shared" si="218"/>
        <v>4396.040000000008</v>
      </c>
      <c r="M204" s="55">
        <f t="shared" si="214"/>
        <v>181.88759322072468</v>
      </c>
      <c r="N204" s="29">
        <f t="shared" si="219"/>
        <v>4577.927593220733</v>
      </c>
      <c r="O204" s="16">
        <f t="shared" si="200"/>
        <v>0</v>
      </c>
      <c r="P204" s="16">
        <f t="shared" si="201"/>
        <v>11</v>
      </c>
      <c r="Q204" s="16">
        <f t="shared" si="202"/>
        <v>92</v>
      </c>
      <c r="R204" s="16">
        <f t="shared" si="210"/>
        <v>92</v>
      </c>
      <c r="S204" s="16">
        <f t="shared" si="211"/>
        <v>90</v>
      </c>
      <c r="T204" s="16">
        <f t="shared" si="211"/>
        <v>91</v>
      </c>
      <c r="U204" s="16">
        <f t="shared" si="211"/>
        <v>0</v>
      </c>
      <c r="V204" s="106">
        <f t="shared" si="216"/>
        <v>0</v>
      </c>
      <c r="W204" s="141">
        <f t="shared" si="217"/>
        <v>0</v>
      </c>
      <c r="X204" s="63">
        <f>($L204+SUM($W204:W204))*(P$11*P204)</f>
        <v>4.636918904109598</v>
      </c>
      <c r="Y204" s="63">
        <f>($L204+SUM($W204:X204))*(Q$11*Q204)</f>
        <v>40.375306482263305</v>
      </c>
      <c r="Z204" s="63">
        <f>($L204+SUM($W204:Y204))*(R$11*R204)</f>
        <v>43.39496108743755</v>
      </c>
      <c r="AA204" s="63">
        <f>($L204+SUM($W204:Z204))*(S$11*S204)</f>
        <v>45.63078589195551</v>
      </c>
      <c r="AB204" s="63">
        <f>($L204+SUM($W204:AA204))*(T$11*T204)</f>
        <v>47.84962085495871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03"/>
        <v>181.88759322072468</v>
      </c>
    </row>
    <row r="205" spans="1:31" ht="12.75">
      <c r="A205" s="3">
        <v>6</v>
      </c>
      <c r="B205" s="15">
        <f t="shared" si="163"/>
        <v>42887</v>
      </c>
      <c r="C205" s="243">
        <f t="shared" si="198"/>
        <v>42922</v>
      </c>
      <c r="D205" s="243">
        <f t="shared" si="198"/>
        <v>42937</v>
      </c>
      <c r="E205" s="30" t="s">
        <v>139</v>
      </c>
      <c r="F205" s="3">
        <v>9</v>
      </c>
      <c r="G205" s="359">
        <f>+'[2]Load WS'!$J$26</f>
        <v>97</v>
      </c>
      <c r="H205" s="246">
        <f t="shared" si="213"/>
        <v>1623.7</v>
      </c>
      <c r="I205" s="246">
        <f t="shared" si="196"/>
        <v>1666.38</v>
      </c>
      <c r="J205" s="56">
        <f t="shared" si="164"/>
        <v>161638.86000000002</v>
      </c>
      <c r="K205" s="57">
        <f t="shared" si="212"/>
        <v>157498.9</v>
      </c>
      <c r="L205" s="77">
        <f t="shared" si="218"/>
        <v>4139.960000000021</v>
      </c>
      <c r="M205" s="78">
        <f t="shared" si="214"/>
        <v>158.23777859763678</v>
      </c>
      <c r="N205" s="76">
        <f t="shared" si="219"/>
        <v>4298.197778597658</v>
      </c>
      <c r="O205" s="16">
        <f t="shared" si="200"/>
        <v>0</v>
      </c>
      <c r="P205" s="16">
        <f t="shared" si="201"/>
        <v>0</v>
      </c>
      <c r="Q205" s="16">
        <f t="shared" si="202"/>
        <v>72</v>
      </c>
      <c r="R205" s="16">
        <f t="shared" si="210"/>
        <v>92</v>
      </c>
      <c r="S205" s="16">
        <f t="shared" si="211"/>
        <v>90</v>
      </c>
      <c r="T205" s="16">
        <f t="shared" si="211"/>
        <v>91</v>
      </c>
      <c r="U205" s="16">
        <f t="shared" si="211"/>
        <v>0</v>
      </c>
      <c r="V205" s="106">
        <f t="shared" si="216"/>
        <v>0</v>
      </c>
      <c r="W205" s="141">
        <f t="shared" si="217"/>
        <v>0</v>
      </c>
      <c r="X205" s="63">
        <f>($L205+SUM($W205:W205))*(P$11*P205)</f>
        <v>0</v>
      </c>
      <c r="Y205" s="63">
        <f>($L205+SUM($W205:X205))*(Q$11*Q205)</f>
        <v>29.726047035616585</v>
      </c>
      <c r="Z205" s="63">
        <f>($L205+SUM($W205:Y205))*(R$11*R205)</f>
        <v>40.74335418160959</v>
      </c>
      <c r="AA205" s="63">
        <f>($L205+SUM($W205:Z205))*(S$11*S205)</f>
        <v>42.84256108526261</v>
      </c>
      <c r="AB205" s="63">
        <f>($L205+SUM($W205:AA205))*(T$11*T205)</f>
        <v>44.925816295147996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03"/>
        <v>158.23777859763678</v>
      </c>
    </row>
    <row r="206" spans="1:31" ht="12.75">
      <c r="A206" s="16">
        <v>7</v>
      </c>
      <c r="B206" s="15">
        <f t="shared" si="163"/>
        <v>42917</v>
      </c>
      <c r="C206" s="243">
        <f t="shared" si="198"/>
        <v>42950</v>
      </c>
      <c r="D206" s="243">
        <f t="shared" si="198"/>
        <v>42965</v>
      </c>
      <c r="E206" s="30" t="s">
        <v>139</v>
      </c>
      <c r="F206" s="3">
        <v>9</v>
      </c>
      <c r="G206" s="359">
        <f>+'[2]Load WS'!$K$26</f>
        <v>100</v>
      </c>
      <c r="H206" s="246">
        <f aca="true" t="shared" si="220" ref="H206:H211">$K$8</f>
        <v>1651.41</v>
      </c>
      <c r="I206" s="246">
        <f t="shared" si="196"/>
        <v>1666.38</v>
      </c>
      <c r="J206" s="56">
        <f t="shared" si="164"/>
        <v>166638</v>
      </c>
      <c r="K206" s="74">
        <f t="shared" si="212"/>
        <v>165141</v>
      </c>
      <c r="L206" s="77">
        <f t="shared" si="218"/>
        <v>1497</v>
      </c>
      <c r="M206" s="75">
        <f t="shared" si="214"/>
        <v>52.90946689820514</v>
      </c>
      <c r="N206" s="76">
        <f t="shared" si="219"/>
        <v>1549.9094668982052</v>
      </c>
      <c r="O206" s="16">
        <f t="shared" si="200"/>
        <v>0</v>
      </c>
      <c r="P206" s="16">
        <f t="shared" si="201"/>
        <v>0</v>
      </c>
      <c r="Q206" s="16">
        <f t="shared" si="202"/>
        <v>44</v>
      </c>
      <c r="R206" s="16">
        <f t="shared" si="210"/>
        <v>92</v>
      </c>
      <c r="S206" s="16">
        <f t="shared" si="211"/>
        <v>90</v>
      </c>
      <c r="T206" s="16">
        <f t="shared" si="211"/>
        <v>91</v>
      </c>
      <c r="U206" s="16">
        <f t="shared" si="211"/>
        <v>0</v>
      </c>
      <c r="V206" s="106">
        <f t="shared" si="216"/>
        <v>0</v>
      </c>
      <c r="W206" s="141">
        <f t="shared" si="217"/>
        <v>0</v>
      </c>
      <c r="X206" s="63">
        <f>($L206+SUM($W206:W206))*(P$11*P206)</f>
        <v>0</v>
      </c>
      <c r="Y206" s="63">
        <f>($L206+SUM($W206:X206))*(Q$11*Q206)</f>
        <v>6.568753972602738</v>
      </c>
      <c r="Z206" s="63">
        <f>($L206+SUM($W206:Y206))*(R$11*R206)</f>
        <v>14.69185775342946</v>
      </c>
      <c r="AA206" s="63">
        <f>($L206+SUM($W206:Z206))*(S$11*S206)</f>
        <v>15.448821676576667</v>
      </c>
      <c r="AB206" s="63">
        <f>($L206+SUM($W206:AA206))*(T$11*T206)</f>
        <v>16.20003349559627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03"/>
        <v>52.90946689820514</v>
      </c>
    </row>
    <row r="207" spans="1:31" ht="12.75">
      <c r="A207" s="3">
        <v>8</v>
      </c>
      <c r="B207" s="15">
        <f t="shared" si="163"/>
        <v>42948</v>
      </c>
      <c r="C207" s="243">
        <f t="shared" si="198"/>
        <v>42984</v>
      </c>
      <c r="D207" s="243">
        <f t="shared" si="198"/>
        <v>42999</v>
      </c>
      <c r="E207" s="30" t="s">
        <v>139</v>
      </c>
      <c r="F207" s="3">
        <v>9</v>
      </c>
      <c r="G207" s="359">
        <f>+'[2]Load WS'!$L$26</f>
        <v>96</v>
      </c>
      <c r="H207" s="246">
        <f t="shared" si="220"/>
        <v>1651.41</v>
      </c>
      <c r="I207" s="246">
        <f t="shared" si="196"/>
        <v>1666.38</v>
      </c>
      <c r="J207" s="56">
        <f t="shared" si="164"/>
        <v>159972.48</v>
      </c>
      <c r="K207" s="74">
        <f t="shared" si="212"/>
        <v>158535.36000000002</v>
      </c>
      <c r="L207" s="77">
        <f t="shared" si="218"/>
        <v>1437.1199999999953</v>
      </c>
      <c r="M207" s="75">
        <f t="shared" si="214"/>
        <v>45.770084400187926</v>
      </c>
      <c r="N207" s="76">
        <f t="shared" si="219"/>
        <v>1482.8900844001832</v>
      </c>
      <c r="O207" s="16">
        <f t="shared" si="200"/>
        <v>0</v>
      </c>
      <c r="P207" s="16">
        <f t="shared" si="201"/>
        <v>0</v>
      </c>
      <c r="Q207" s="16">
        <f t="shared" si="202"/>
        <v>10</v>
      </c>
      <c r="R207" s="16">
        <f t="shared" si="210"/>
        <v>92</v>
      </c>
      <c r="S207" s="16">
        <f t="shared" si="211"/>
        <v>90</v>
      </c>
      <c r="T207" s="16">
        <f t="shared" si="211"/>
        <v>91</v>
      </c>
      <c r="U207" s="16">
        <f t="shared" si="211"/>
        <v>0</v>
      </c>
      <c r="V207" s="106">
        <f t="shared" si="216"/>
        <v>0</v>
      </c>
      <c r="W207" s="141">
        <f t="shared" si="217"/>
        <v>0</v>
      </c>
      <c r="X207" s="63">
        <f>($L207+SUM($W207:W207))*(P$11*P207)</f>
        <v>0</v>
      </c>
      <c r="Y207" s="63">
        <f>($L207+SUM($W207:X207))*(Q$11*Q207)</f>
        <v>1.4331826849315021</v>
      </c>
      <c r="Z207" s="63">
        <f>($L207+SUM($W207:Y207))*(R$11*R207)</f>
        <v>14.056569528269993</v>
      </c>
      <c r="AA207" s="63">
        <f>($L207+SUM($W207:Z207))*(S$11*S207)</f>
        <v>14.7808016978625</v>
      </c>
      <c r="AB207" s="63">
        <f>($L207+SUM($W207:AA207))*(T$11*T207)</f>
        <v>15.499530489123932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03"/>
        <v>45.770084400187926</v>
      </c>
    </row>
    <row r="208" spans="1:31" ht="12.75">
      <c r="A208" s="3">
        <v>9</v>
      </c>
      <c r="B208" s="15">
        <f t="shared" si="163"/>
        <v>42979</v>
      </c>
      <c r="C208" s="243">
        <f t="shared" si="198"/>
        <v>43012</v>
      </c>
      <c r="D208" s="243">
        <f t="shared" si="198"/>
        <v>43027</v>
      </c>
      <c r="E208" s="30" t="s">
        <v>139</v>
      </c>
      <c r="F208" s="3">
        <v>9</v>
      </c>
      <c r="G208" s="359">
        <f>+'[2]Load WS'!$M$26</f>
        <v>103</v>
      </c>
      <c r="H208" s="246">
        <f t="shared" si="220"/>
        <v>1651.41</v>
      </c>
      <c r="I208" s="246">
        <f t="shared" si="196"/>
        <v>1666.38</v>
      </c>
      <c r="J208" s="56">
        <f t="shared" si="164"/>
        <v>171637.14</v>
      </c>
      <c r="K208" s="74">
        <f t="shared" si="212"/>
        <v>170095.23</v>
      </c>
      <c r="L208" s="77">
        <f t="shared" si="218"/>
        <v>1541.9100000000035</v>
      </c>
      <c r="M208" s="75">
        <f t="shared" si="214"/>
        <v>44.513166472294024</v>
      </c>
      <c r="N208" s="76">
        <f t="shared" si="219"/>
        <v>1586.4231664722975</v>
      </c>
      <c r="O208" s="16">
        <f t="shared" si="200"/>
        <v>0</v>
      </c>
      <c r="P208" s="16">
        <f t="shared" si="201"/>
        <v>0</v>
      </c>
      <c r="Q208" s="16">
        <f t="shared" si="202"/>
        <v>0</v>
      </c>
      <c r="R208" s="16">
        <f t="shared" si="210"/>
        <v>74</v>
      </c>
      <c r="S208" s="16">
        <f t="shared" si="211"/>
        <v>90</v>
      </c>
      <c r="T208" s="16">
        <f t="shared" si="211"/>
        <v>91</v>
      </c>
      <c r="U208" s="16">
        <f t="shared" si="211"/>
        <v>0</v>
      </c>
      <c r="V208" s="106">
        <f t="shared" si="216"/>
        <v>0</v>
      </c>
      <c r="W208" s="141">
        <f t="shared" si="217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12.118708531506874</v>
      </c>
      <c r="AA208" s="63">
        <f>($L208+SUM($W208:Z208))*(S$11*S208)</f>
        <v>15.812774310920627</v>
      </c>
      <c r="AB208" s="63">
        <f>($L208+SUM($W208:AA208))*(T$11*T208)</f>
        <v>16.581683629866525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03"/>
        <v>44.513166472294024</v>
      </c>
    </row>
    <row r="209" spans="1:31" ht="12.75">
      <c r="A209" s="16">
        <v>10</v>
      </c>
      <c r="B209" s="15">
        <f t="shared" si="163"/>
        <v>43009</v>
      </c>
      <c r="C209" s="243">
        <f t="shared" si="198"/>
        <v>43042</v>
      </c>
      <c r="D209" s="243">
        <f t="shared" si="198"/>
        <v>43059</v>
      </c>
      <c r="E209" s="30" t="s">
        <v>139</v>
      </c>
      <c r="F209" s="3">
        <v>9</v>
      </c>
      <c r="G209" s="359">
        <f>+'[2]Load WS'!$N$26</f>
        <v>87</v>
      </c>
      <c r="H209" s="246">
        <f t="shared" si="220"/>
        <v>1651.41</v>
      </c>
      <c r="I209" s="246">
        <f t="shared" si="196"/>
        <v>1666.38</v>
      </c>
      <c r="J209" s="56">
        <f t="shared" si="164"/>
        <v>144975.06</v>
      </c>
      <c r="K209" s="74">
        <f t="shared" si="212"/>
        <v>143672.67</v>
      </c>
      <c r="L209" s="77">
        <f t="shared" si="218"/>
        <v>1302.3899999999849</v>
      </c>
      <c r="M209" s="75">
        <f t="shared" si="214"/>
        <v>33.07976733777113</v>
      </c>
      <c r="N209" s="76">
        <f t="shared" si="219"/>
        <v>1335.469767337756</v>
      </c>
      <c r="O209" s="16">
        <f t="shared" si="200"/>
        <v>0</v>
      </c>
      <c r="P209" s="16">
        <f t="shared" si="201"/>
        <v>0</v>
      </c>
      <c r="Q209" s="16">
        <f t="shared" si="202"/>
        <v>0</v>
      </c>
      <c r="R209" s="16">
        <f t="shared" si="210"/>
        <v>42</v>
      </c>
      <c r="S209" s="16">
        <f t="shared" si="211"/>
        <v>90</v>
      </c>
      <c r="T209" s="16">
        <f t="shared" si="211"/>
        <v>91</v>
      </c>
      <c r="U209" s="16">
        <f t="shared" si="211"/>
        <v>0</v>
      </c>
      <c r="V209" s="106">
        <f t="shared" si="216"/>
        <v>0</v>
      </c>
      <c r="W209" s="141">
        <f t="shared" si="217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5.809729857534178</v>
      </c>
      <c r="AA209" s="63">
        <f>($L209+SUM($W209:Z209))*(S$11*S209)</f>
        <v>13.311380264906372</v>
      </c>
      <c r="AB209" s="63">
        <f>($L209+SUM($W209:AA209))*(T$11*T209)</f>
        <v>13.95865721533058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03"/>
        <v>33.07976733777113</v>
      </c>
    </row>
    <row r="210" spans="1:31" ht="12.75">
      <c r="A210" s="3">
        <v>11</v>
      </c>
      <c r="B210" s="15">
        <f t="shared" si="163"/>
        <v>43040</v>
      </c>
      <c r="C210" s="243">
        <f t="shared" si="198"/>
        <v>43074</v>
      </c>
      <c r="D210" s="243">
        <f t="shared" si="198"/>
        <v>43089</v>
      </c>
      <c r="E210" s="30" t="s">
        <v>139</v>
      </c>
      <c r="F210" s="3">
        <v>9</v>
      </c>
      <c r="G210" s="359">
        <f>+'[2]Load WS'!$O$26</f>
        <v>93</v>
      </c>
      <c r="H210" s="246">
        <f t="shared" si="220"/>
        <v>1651.41</v>
      </c>
      <c r="I210" s="246">
        <f t="shared" si="196"/>
        <v>1666.38</v>
      </c>
      <c r="J210" s="56">
        <f t="shared" si="164"/>
        <v>154973.34</v>
      </c>
      <c r="K210" s="74">
        <f>+$G210*H210</f>
        <v>153581.13</v>
      </c>
      <c r="L210" s="77">
        <f t="shared" si="218"/>
        <v>1392.2099999999919</v>
      </c>
      <c r="M210" s="75">
        <f t="shared" si="214"/>
        <v>30.832659456770557</v>
      </c>
      <c r="N210" s="76">
        <f t="shared" si="219"/>
        <v>1423.0426594567625</v>
      </c>
      <c r="O210" s="16">
        <f t="shared" si="200"/>
        <v>0</v>
      </c>
      <c r="P210" s="16">
        <f t="shared" si="201"/>
        <v>0</v>
      </c>
      <c r="Q210" s="16">
        <f t="shared" si="202"/>
        <v>0</v>
      </c>
      <c r="R210" s="16">
        <f t="shared" si="210"/>
        <v>12</v>
      </c>
      <c r="S210" s="16">
        <f t="shared" si="211"/>
        <v>90</v>
      </c>
      <c r="T210" s="16">
        <f t="shared" si="211"/>
        <v>91</v>
      </c>
      <c r="U210" s="16">
        <f t="shared" si="211"/>
        <v>0</v>
      </c>
      <c r="V210" s="106">
        <f t="shared" si="216"/>
        <v>0</v>
      </c>
      <c r="W210" s="141">
        <f t="shared" si="217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1.774400252054784</v>
      </c>
      <c r="AA210" s="63">
        <f>($L210+SUM($W210:Z210))*(S$11*S210)</f>
        <v>14.184268664482468</v>
      </c>
      <c r="AB210" s="63">
        <f>($L210+SUM($W210:AA210))*(T$11*T210)</f>
        <v>14.873990540233304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03"/>
        <v>30.832659456770557</v>
      </c>
    </row>
    <row r="211" spans="1:31" s="69" customFormat="1" ht="12.75">
      <c r="A211" s="3">
        <v>12</v>
      </c>
      <c r="B211" s="83">
        <f t="shared" si="163"/>
        <v>43070</v>
      </c>
      <c r="C211" s="263">
        <f t="shared" si="198"/>
        <v>43104</v>
      </c>
      <c r="D211" s="263">
        <f t="shared" si="198"/>
        <v>43119</v>
      </c>
      <c r="E211" s="84" t="s">
        <v>139</v>
      </c>
      <c r="F211" s="81">
        <v>9</v>
      </c>
      <c r="G211" s="360">
        <f>+'[2]Load WS'!$P$26</f>
        <v>98</v>
      </c>
      <c r="H211" s="247">
        <f t="shared" si="220"/>
        <v>1651.41</v>
      </c>
      <c r="I211" s="247">
        <f t="shared" si="196"/>
        <v>1666.38</v>
      </c>
      <c r="J211" s="85">
        <f t="shared" si="164"/>
        <v>163305.24000000002</v>
      </c>
      <c r="K211" s="86">
        <f>+$G211*H211</f>
        <v>161838.18000000002</v>
      </c>
      <c r="L211" s="87">
        <f t="shared" si="218"/>
        <v>1467.0599999999977</v>
      </c>
      <c r="M211" s="88">
        <f t="shared" si="214"/>
        <v>27.564451301290305</v>
      </c>
      <c r="N211" s="89">
        <f t="shared" si="219"/>
        <v>1494.624451301288</v>
      </c>
      <c r="O211" s="81">
        <f t="shared" si="200"/>
        <v>0</v>
      </c>
      <c r="P211" s="81">
        <f t="shared" si="201"/>
        <v>0</v>
      </c>
      <c r="Q211" s="81">
        <f t="shared" si="202"/>
        <v>0</v>
      </c>
      <c r="R211" s="81">
        <f t="shared" si="210"/>
        <v>0</v>
      </c>
      <c r="S211" s="81">
        <f t="shared" si="211"/>
        <v>72</v>
      </c>
      <c r="T211" s="81">
        <f t="shared" si="211"/>
        <v>91</v>
      </c>
      <c r="U211" s="81">
        <f t="shared" si="211"/>
        <v>0</v>
      </c>
      <c r="V211" s="107">
        <f t="shared" si="216"/>
        <v>0</v>
      </c>
      <c r="W211" s="142">
        <f t="shared" si="217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11.942270334246556</v>
      </c>
      <c r="AB211" s="90">
        <f>($L211+SUM($W211:AA211))*(T$11*T211)</f>
        <v>15.622180967043747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03"/>
        <v>27.564451301290305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spans="1:13" ht="12.75">
      <c r="A216" s="3"/>
      <c r="D216"/>
      <c r="F216"/>
      <c r="G216"/>
      <c r="H216"/>
      <c r="I216"/>
      <c r="J216"/>
      <c r="K216"/>
      <c r="L216"/>
      <c r="M216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  <row r="232" spans="4:13" ht="12.75">
      <c r="D232"/>
      <c r="F232"/>
      <c r="G232"/>
      <c r="H232"/>
      <c r="I232"/>
      <c r="J232"/>
      <c r="K232"/>
      <c r="L232"/>
      <c r="M232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8" sqref="E48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64"/>
      <c r="B3" s="119"/>
      <c r="C3" s="121" t="s">
        <v>217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148</v>
      </c>
      <c r="C4" s="123">
        <v>42736</v>
      </c>
      <c r="D4" s="124">
        <v>42767</v>
      </c>
      <c r="E4" s="124">
        <v>42795</v>
      </c>
      <c r="F4" s="124">
        <v>42826</v>
      </c>
      <c r="G4" s="124">
        <v>42856</v>
      </c>
      <c r="H4" s="124">
        <v>42887</v>
      </c>
      <c r="I4" s="124">
        <v>42917</v>
      </c>
      <c r="J4" s="124">
        <v>42948</v>
      </c>
      <c r="K4" s="124">
        <v>42979</v>
      </c>
      <c r="L4" s="124">
        <v>43009</v>
      </c>
      <c r="M4" s="124">
        <v>43040</v>
      </c>
      <c r="N4" s="124">
        <v>43070</v>
      </c>
      <c r="O4" s="125" t="s">
        <v>140</v>
      </c>
    </row>
    <row r="5" spans="1:15" ht="12.75">
      <c r="A5" s="164" t="s">
        <v>136</v>
      </c>
      <c r="B5" s="164" t="s">
        <v>256</v>
      </c>
      <c r="C5" s="201">
        <v>1345901.76</v>
      </c>
      <c r="D5" s="202">
        <v>971114.76</v>
      </c>
      <c r="E5" s="202">
        <v>811205.64</v>
      </c>
      <c r="F5" s="202">
        <v>842854.3200000001</v>
      </c>
      <c r="G5" s="202">
        <v>1134355.32</v>
      </c>
      <c r="H5" s="202">
        <v>1302593.04</v>
      </c>
      <c r="I5" s="202">
        <v>1417527.72</v>
      </c>
      <c r="J5" s="202">
        <v>1364224.68</v>
      </c>
      <c r="K5" s="202">
        <v>1290933</v>
      </c>
      <c r="L5" s="202">
        <v>1077720.84</v>
      </c>
      <c r="M5" s="202">
        <v>712928.16</v>
      </c>
      <c r="N5" s="202">
        <v>1292598.72</v>
      </c>
      <c r="O5" s="203">
        <v>13563957.96</v>
      </c>
    </row>
    <row r="6" spans="1:15" ht="12.75">
      <c r="A6" s="163"/>
      <c r="B6" s="122" t="s">
        <v>149</v>
      </c>
      <c r="C6" s="388">
        <v>33952.159999999916</v>
      </c>
      <c r="D6" s="389">
        <v>24497.660000000033</v>
      </c>
      <c r="E6" s="389">
        <v>20463.73999999999</v>
      </c>
      <c r="F6" s="389">
        <v>21262.119999999995</v>
      </c>
      <c r="G6" s="389">
        <v>28615.62000000011</v>
      </c>
      <c r="H6" s="389">
        <v>32859.6399999999</v>
      </c>
      <c r="I6" s="389">
        <v>12177.809999999823</v>
      </c>
      <c r="J6" s="389">
        <v>11719.889999999898</v>
      </c>
      <c r="K6" s="389">
        <v>11090.25</v>
      </c>
      <c r="L6" s="389">
        <v>9258.570000000065</v>
      </c>
      <c r="M6" s="389">
        <v>6124.680000000051</v>
      </c>
      <c r="N6" s="389">
        <v>11104.559999999823</v>
      </c>
      <c r="O6" s="390">
        <v>223126.6999999996</v>
      </c>
    </row>
    <row r="7" spans="1:15" ht="12.75">
      <c r="A7" s="163"/>
      <c r="B7" s="122" t="s">
        <v>150</v>
      </c>
      <c r="C7" s="388">
        <v>1812.3821798894319</v>
      </c>
      <c r="D7" s="389">
        <v>1238.6756708830796</v>
      </c>
      <c r="E7" s="389">
        <v>971.2140367025648</v>
      </c>
      <c r="F7" s="389">
        <v>949.7186417677912</v>
      </c>
      <c r="G7" s="389">
        <v>1183.980639466166</v>
      </c>
      <c r="H7" s="389">
        <v>1255.962965612713</v>
      </c>
      <c r="I7" s="389">
        <v>430.40844027229264</v>
      </c>
      <c r="J7" s="389">
        <v>374.4654567291361</v>
      </c>
      <c r="K7" s="389">
        <v>320.1627491029682</v>
      </c>
      <c r="L7" s="389">
        <v>235.1610051370737</v>
      </c>
      <c r="M7" s="389">
        <v>135.64058060328267</v>
      </c>
      <c r="N7" s="389">
        <v>208.64252541971825</v>
      </c>
      <c r="O7" s="390">
        <v>9116.414891586219</v>
      </c>
    </row>
    <row r="8" spans="1:15" ht="12.75">
      <c r="A8" s="163"/>
      <c r="B8" s="122" t="s">
        <v>151</v>
      </c>
      <c r="C8" s="388">
        <v>35764.54217988935</v>
      </c>
      <c r="D8" s="389">
        <v>25736.335670883112</v>
      </c>
      <c r="E8" s="389">
        <v>21434.954036702555</v>
      </c>
      <c r="F8" s="389">
        <v>22211.838641767787</v>
      </c>
      <c r="G8" s="389">
        <v>29799.600639466276</v>
      </c>
      <c r="H8" s="389">
        <v>34115.60296561261</v>
      </c>
      <c r="I8" s="389">
        <v>12608.218440272116</v>
      </c>
      <c r="J8" s="389">
        <v>12094.355456729034</v>
      </c>
      <c r="K8" s="389">
        <v>11410.412749102969</v>
      </c>
      <c r="L8" s="389">
        <v>9493.731005137139</v>
      </c>
      <c r="M8" s="389">
        <v>6260.320580603334</v>
      </c>
      <c r="N8" s="389">
        <v>11313.202525419541</v>
      </c>
      <c r="O8" s="390">
        <v>232243.1148915858</v>
      </c>
    </row>
    <row r="9" spans="1:15" ht="12.75">
      <c r="A9" s="163"/>
      <c r="B9" s="122" t="s">
        <v>211</v>
      </c>
      <c r="C9" s="251">
        <v>1311949.6</v>
      </c>
      <c r="D9" s="252">
        <v>946617.1</v>
      </c>
      <c r="E9" s="252">
        <v>790741.9</v>
      </c>
      <c r="F9" s="252">
        <v>821592.2000000001</v>
      </c>
      <c r="G9" s="252">
        <v>1105739.7</v>
      </c>
      <c r="H9" s="252">
        <v>1269733.4000000001</v>
      </c>
      <c r="I9" s="252">
        <v>1405349.9100000001</v>
      </c>
      <c r="J9" s="252">
        <v>1352504.79</v>
      </c>
      <c r="K9" s="252">
        <v>1279842.75</v>
      </c>
      <c r="L9" s="252">
        <v>1068462.27</v>
      </c>
      <c r="M9" s="252">
        <v>706803.48</v>
      </c>
      <c r="N9" s="252">
        <v>1281494.1600000001</v>
      </c>
      <c r="O9" s="253">
        <v>13340831.260000002</v>
      </c>
    </row>
    <row r="10" spans="1:15" ht="12.75">
      <c r="A10" s="164" t="s">
        <v>139</v>
      </c>
      <c r="B10" s="164" t="s">
        <v>256</v>
      </c>
      <c r="C10" s="201">
        <v>163240.56</v>
      </c>
      <c r="D10" s="202">
        <v>163240.56</v>
      </c>
      <c r="E10" s="202">
        <v>158243.4</v>
      </c>
      <c r="F10" s="202">
        <v>164906.28</v>
      </c>
      <c r="G10" s="202">
        <v>171569.16</v>
      </c>
      <c r="H10" s="202">
        <v>161574.84</v>
      </c>
      <c r="I10" s="202">
        <v>166572</v>
      </c>
      <c r="J10" s="202">
        <v>159909.12</v>
      </c>
      <c r="K10" s="202">
        <v>171569.16</v>
      </c>
      <c r="L10" s="202">
        <v>144917.64</v>
      </c>
      <c r="M10" s="202">
        <v>154911.96</v>
      </c>
      <c r="N10" s="202">
        <v>163240.56</v>
      </c>
      <c r="O10" s="203">
        <v>1943895.2399999998</v>
      </c>
    </row>
    <row r="11" spans="1:15" ht="12.75">
      <c r="A11" s="163"/>
      <c r="B11" s="122" t="s">
        <v>149</v>
      </c>
      <c r="C11" s="388">
        <v>4117.959999999992</v>
      </c>
      <c r="D11" s="389">
        <v>4117.959999999992</v>
      </c>
      <c r="E11" s="389">
        <v>3991.899999999994</v>
      </c>
      <c r="F11" s="389">
        <v>4159.979999999981</v>
      </c>
      <c r="G11" s="389">
        <v>4328.059999999998</v>
      </c>
      <c r="H11" s="389">
        <v>4075.9400000000023</v>
      </c>
      <c r="I11" s="389">
        <v>1431</v>
      </c>
      <c r="J11" s="389">
        <v>1373.7599999999802</v>
      </c>
      <c r="K11" s="389">
        <v>1473.929999999993</v>
      </c>
      <c r="L11" s="389">
        <v>1244.9700000000012</v>
      </c>
      <c r="M11" s="389">
        <v>1330.8299999999872</v>
      </c>
      <c r="N11" s="389">
        <v>1402.3799999999756</v>
      </c>
      <c r="O11" s="390">
        <v>33048.6699999999</v>
      </c>
    </row>
    <row r="12" spans="1:15" ht="12.75">
      <c r="A12" s="163"/>
      <c r="B12" s="122" t="s">
        <v>150</v>
      </c>
      <c r="C12" s="388">
        <v>219.81863072916386</v>
      </c>
      <c r="D12" s="389">
        <v>208.2164935618206</v>
      </c>
      <c r="E12" s="389">
        <v>189.456536933765</v>
      </c>
      <c r="F12" s="389">
        <v>185.8145168676105</v>
      </c>
      <c r="G12" s="389">
        <v>179.07489848019756</v>
      </c>
      <c r="H12" s="389">
        <v>155.79080263994067</v>
      </c>
      <c r="I12" s="389">
        <v>50.576784990869434</v>
      </c>
      <c r="J12" s="389">
        <v>43.893386869349044</v>
      </c>
      <c r="K12" s="389">
        <v>42.550662138845894</v>
      </c>
      <c r="L12" s="389">
        <v>31.62134072167741</v>
      </c>
      <c r="M12" s="389">
        <v>29.473303729217434</v>
      </c>
      <c r="N12" s="389">
        <v>26.34918491125304</v>
      </c>
      <c r="O12" s="390">
        <v>1362.6365425737104</v>
      </c>
    </row>
    <row r="13" spans="1:15" ht="12.75">
      <c r="A13" s="163"/>
      <c r="B13" s="122" t="s">
        <v>151</v>
      </c>
      <c r="C13" s="388">
        <v>4337.778630729155</v>
      </c>
      <c r="D13" s="389">
        <v>4326.176493561812</v>
      </c>
      <c r="E13" s="389">
        <v>4181.356536933759</v>
      </c>
      <c r="F13" s="389">
        <v>4345.7945168675915</v>
      </c>
      <c r="G13" s="389">
        <v>4507.134898480195</v>
      </c>
      <c r="H13" s="389">
        <v>4231.730802639943</v>
      </c>
      <c r="I13" s="389">
        <v>1481.5767849908693</v>
      </c>
      <c r="J13" s="389">
        <v>1417.6533868693293</v>
      </c>
      <c r="K13" s="389">
        <v>1516.4806621388389</v>
      </c>
      <c r="L13" s="389">
        <v>1276.5913407216785</v>
      </c>
      <c r="M13" s="389">
        <v>1360.3033037292046</v>
      </c>
      <c r="N13" s="389">
        <v>1428.7291849112287</v>
      </c>
      <c r="O13" s="390">
        <v>34411.30654257361</v>
      </c>
    </row>
    <row r="14" spans="1:15" ht="12.75">
      <c r="A14" s="163"/>
      <c r="B14" s="122" t="s">
        <v>211</v>
      </c>
      <c r="C14" s="251">
        <v>159122.6</v>
      </c>
      <c r="D14" s="252">
        <v>159122.6</v>
      </c>
      <c r="E14" s="252">
        <v>154251.5</v>
      </c>
      <c r="F14" s="252">
        <v>160746.30000000002</v>
      </c>
      <c r="G14" s="252">
        <v>167241.1</v>
      </c>
      <c r="H14" s="252">
        <v>157498.9</v>
      </c>
      <c r="I14" s="252">
        <v>165141</v>
      </c>
      <c r="J14" s="252">
        <v>158535.36000000002</v>
      </c>
      <c r="K14" s="252">
        <v>170095.23</v>
      </c>
      <c r="L14" s="252">
        <v>143672.67</v>
      </c>
      <c r="M14" s="252">
        <v>153581.13</v>
      </c>
      <c r="N14" s="252">
        <v>161838.18000000002</v>
      </c>
      <c r="O14" s="253">
        <v>1910846.57</v>
      </c>
    </row>
    <row r="15" spans="1:15" ht="12.75">
      <c r="A15" s="164" t="s">
        <v>135</v>
      </c>
      <c r="B15" s="164" t="s">
        <v>256</v>
      </c>
      <c r="C15" s="201">
        <v>1872269.28</v>
      </c>
      <c r="D15" s="202">
        <v>1222638.48</v>
      </c>
      <c r="E15" s="202">
        <v>852848.64</v>
      </c>
      <c r="F15" s="202">
        <v>801211.3200000001</v>
      </c>
      <c r="G15" s="202">
        <v>1049403.6</v>
      </c>
      <c r="H15" s="202">
        <v>1292598.72</v>
      </c>
      <c r="I15" s="202">
        <v>1394207.6400000001</v>
      </c>
      <c r="J15" s="202">
        <v>1412530.56</v>
      </c>
      <c r="K15" s="202">
        <v>1257618.6</v>
      </c>
      <c r="L15" s="202">
        <v>1217641.32</v>
      </c>
      <c r="M15" s="202">
        <v>839522.88</v>
      </c>
      <c r="N15" s="202">
        <v>1499148</v>
      </c>
      <c r="O15" s="203">
        <v>14711639.040000001</v>
      </c>
    </row>
    <row r="16" spans="1:15" ht="12.75">
      <c r="A16" s="163"/>
      <c r="B16" s="122" t="s">
        <v>149</v>
      </c>
      <c r="C16" s="388">
        <v>47230.47999999998</v>
      </c>
      <c r="D16" s="389">
        <v>30842.679999999935</v>
      </c>
      <c r="E16" s="389">
        <v>21514.23999999999</v>
      </c>
      <c r="F16" s="389">
        <v>20211.619999999995</v>
      </c>
      <c r="G16" s="389">
        <v>26472.600000000093</v>
      </c>
      <c r="H16" s="389">
        <v>32607.52000000002</v>
      </c>
      <c r="I16" s="389">
        <v>11977.469999999972</v>
      </c>
      <c r="J16" s="389">
        <v>12134.879999999888</v>
      </c>
      <c r="K16" s="389">
        <v>10804.050000000047</v>
      </c>
      <c r="L16" s="389">
        <v>10460.610000000102</v>
      </c>
      <c r="M16" s="389">
        <v>7212.239999999991</v>
      </c>
      <c r="N16" s="389">
        <v>12879</v>
      </c>
      <c r="O16" s="390">
        <v>244347.39</v>
      </c>
    </row>
    <row r="17" spans="1:15" ht="12.75">
      <c r="A17" s="163"/>
      <c r="B17" s="122" t="s">
        <v>150</v>
      </c>
      <c r="C17" s="388">
        <v>2521.1851116283733</v>
      </c>
      <c r="D17" s="389">
        <v>1559.4990436160847</v>
      </c>
      <c r="E17" s="389">
        <v>1021.0710201061871</v>
      </c>
      <c r="F17" s="389">
        <v>902.7957839729397</v>
      </c>
      <c r="G17" s="389">
        <v>1095.3124858497565</v>
      </c>
      <c r="H17" s="389">
        <v>1246.3264211195253</v>
      </c>
      <c r="I17" s="389">
        <v>423.32769037357616</v>
      </c>
      <c r="J17" s="389">
        <v>387.72491734591847</v>
      </c>
      <c r="K17" s="389">
        <v>311.9004846099897</v>
      </c>
      <c r="L17" s="389">
        <v>265.6919547993838</v>
      </c>
      <c r="M17" s="389">
        <v>159.72629117769583</v>
      </c>
      <c r="N17" s="389">
        <v>241.98231040947087</v>
      </c>
      <c r="O17" s="390">
        <v>10136.543515008903</v>
      </c>
    </row>
    <row r="18" spans="1:15" ht="12.75">
      <c r="A18" s="163"/>
      <c r="B18" s="122" t="s">
        <v>151</v>
      </c>
      <c r="C18" s="388">
        <v>49751.665111628354</v>
      </c>
      <c r="D18" s="389">
        <v>32402.17904361602</v>
      </c>
      <c r="E18" s="389">
        <v>22535.31102010618</v>
      </c>
      <c r="F18" s="389">
        <v>21114.415783972934</v>
      </c>
      <c r="G18" s="389">
        <v>27567.91248584985</v>
      </c>
      <c r="H18" s="389">
        <v>33853.846421119546</v>
      </c>
      <c r="I18" s="389">
        <v>12400.797690373549</v>
      </c>
      <c r="J18" s="389">
        <v>12522.604917345807</v>
      </c>
      <c r="K18" s="389">
        <v>11115.950484610035</v>
      </c>
      <c r="L18" s="389">
        <v>10726.301954799486</v>
      </c>
      <c r="M18" s="389">
        <v>7371.966291177687</v>
      </c>
      <c r="N18" s="389">
        <v>13120.98231040947</v>
      </c>
      <c r="O18" s="390">
        <v>254483.93351500895</v>
      </c>
    </row>
    <row r="19" spans="1:15" ht="12.75">
      <c r="A19" s="163"/>
      <c r="B19" s="122" t="s">
        <v>211</v>
      </c>
      <c r="C19" s="251">
        <v>1825038.8</v>
      </c>
      <c r="D19" s="252">
        <v>1191795.8</v>
      </c>
      <c r="E19" s="252">
        <v>831334.4</v>
      </c>
      <c r="F19" s="252">
        <v>780999.7000000001</v>
      </c>
      <c r="G19" s="252">
        <v>1022931</v>
      </c>
      <c r="H19" s="252">
        <v>1259991.2</v>
      </c>
      <c r="I19" s="252">
        <v>1382230.1700000002</v>
      </c>
      <c r="J19" s="252">
        <v>1400395.6800000002</v>
      </c>
      <c r="K19" s="252">
        <v>1246814.55</v>
      </c>
      <c r="L19" s="252">
        <v>1207180.71</v>
      </c>
      <c r="M19" s="252">
        <v>832310.64</v>
      </c>
      <c r="N19" s="252">
        <v>1486269</v>
      </c>
      <c r="O19" s="253">
        <v>14467291.650000002</v>
      </c>
    </row>
    <row r="20" spans="1:15" ht="12.75">
      <c r="A20" s="164" t="s">
        <v>137</v>
      </c>
      <c r="B20" s="164" t="s">
        <v>256</v>
      </c>
      <c r="C20" s="201">
        <v>8328.6</v>
      </c>
      <c r="D20" s="202">
        <v>9994.32</v>
      </c>
      <c r="E20" s="202">
        <v>9994.32</v>
      </c>
      <c r="F20" s="202">
        <v>6662.88</v>
      </c>
      <c r="G20" s="202">
        <v>14991.48</v>
      </c>
      <c r="H20" s="202">
        <v>18322.920000000002</v>
      </c>
      <c r="I20" s="202">
        <v>26651.52</v>
      </c>
      <c r="J20" s="202">
        <v>14991.48</v>
      </c>
      <c r="K20" s="202">
        <v>9994.32</v>
      </c>
      <c r="L20" s="202">
        <v>4997.16</v>
      </c>
      <c r="M20" s="202">
        <v>9994.32</v>
      </c>
      <c r="N20" s="202">
        <v>13325.76</v>
      </c>
      <c r="O20" s="203">
        <v>148249.08000000002</v>
      </c>
    </row>
    <row r="21" spans="1:15" ht="12.75">
      <c r="A21" s="163"/>
      <c r="B21" s="122" t="s">
        <v>149</v>
      </c>
      <c r="C21" s="388">
        <v>210.10000000000036</v>
      </c>
      <c r="D21" s="389">
        <v>252.11999999999898</v>
      </c>
      <c r="E21" s="389">
        <v>252.11999999999898</v>
      </c>
      <c r="F21" s="389">
        <v>168.07999999999993</v>
      </c>
      <c r="G21" s="389">
        <v>378.1799999999985</v>
      </c>
      <c r="H21" s="389">
        <v>462.22000000000116</v>
      </c>
      <c r="I21" s="389">
        <v>228.95999999999913</v>
      </c>
      <c r="J21" s="389">
        <v>128.78999999999905</v>
      </c>
      <c r="K21" s="389">
        <v>85.85999999999876</v>
      </c>
      <c r="L21" s="389">
        <v>42.92999999999938</v>
      </c>
      <c r="M21" s="389">
        <v>85.85999999999876</v>
      </c>
      <c r="N21" s="389">
        <v>114.47999999999956</v>
      </c>
      <c r="O21" s="390">
        <v>2409.6999999999925</v>
      </c>
    </row>
    <row r="22" spans="1:15" ht="12.75">
      <c r="A22" s="163"/>
      <c r="B22" s="122" t="s">
        <v>150</v>
      </c>
      <c r="C22" s="388">
        <v>11.215236261692075</v>
      </c>
      <c r="D22" s="389">
        <v>12.74794858541756</v>
      </c>
      <c r="E22" s="389">
        <v>11.965676016869336</v>
      </c>
      <c r="F22" s="389">
        <v>7.507657247176213</v>
      </c>
      <c r="G22" s="389">
        <v>15.647321226424976</v>
      </c>
      <c r="H22" s="389">
        <v>17.66699823751908</v>
      </c>
      <c r="I22" s="389">
        <v>8.092285598539078</v>
      </c>
      <c r="J22" s="389">
        <v>4.115005019001502</v>
      </c>
      <c r="K22" s="389">
        <v>2.4786793478939115</v>
      </c>
      <c r="L22" s="389">
        <v>1.0903910593681698</v>
      </c>
      <c r="M22" s="389">
        <v>1.901503466401116</v>
      </c>
      <c r="N22" s="389">
        <v>2.1509538703063997</v>
      </c>
      <c r="O22" s="390">
        <v>96.57965593660941</v>
      </c>
    </row>
    <row r="23" spans="1:15" ht="12.75">
      <c r="A23" s="163"/>
      <c r="B23" s="122" t="s">
        <v>151</v>
      </c>
      <c r="C23" s="388">
        <v>221.31523626169243</v>
      </c>
      <c r="D23" s="389">
        <v>264.86794858541657</v>
      </c>
      <c r="E23" s="389">
        <v>264.0856760168683</v>
      </c>
      <c r="F23" s="389">
        <v>175.58765724717614</v>
      </c>
      <c r="G23" s="389">
        <v>393.82732122642346</v>
      </c>
      <c r="H23" s="389">
        <v>479.88699823752023</v>
      </c>
      <c r="I23" s="389">
        <v>237.05228559853822</v>
      </c>
      <c r="J23" s="389">
        <v>132.90500501900055</v>
      </c>
      <c r="K23" s="389">
        <v>88.33867934789268</v>
      </c>
      <c r="L23" s="389">
        <v>44.020391059367554</v>
      </c>
      <c r="M23" s="389">
        <v>87.76150346639987</v>
      </c>
      <c r="N23" s="389">
        <v>116.63095387030596</v>
      </c>
      <c r="O23" s="390">
        <v>2506.279655936602</v>
      </c>
    </row>
    <row r="24" spans="1:15" ht="12.75">
      <c r="A24" s="163"/>
      <c r="B24" s="122" t="s">
        <v>211</v>
      </c>
      <c r="C24" s="251">
        <v>8118.5</v>
      </c>
      <c r="D24" s="252">
        <v>9742.2</v>
      </c>
      <c r="E24" s="252">
        <v>9742.2</v>
      </c>
      <c r="F24" s="252">
        <v>6494.8</v>
      </c>
      <c r="G24" s="252">
        <v>14613.300000000001</v>
      </c>
      <c r="H24" s="252">
        <v>17860.7</v>
      </c>
      <c r="I24" s="252">
        <v>26422.56</v>
      </c>
      <c r="J24" s="252">
        <v>14862.69</v>
      </c>
      <c r="K24" s="252">
        <v>9908.460000000001</v>
      </c>
      <c r="L24" s="252">
        <v>4954.2300000000005</v>
      </c>
      <c r="M24" s="252">
        <v>9908.460000000001</v>
      </c>
      <c r="N24" s="252">
        <v>13211.28</v>
      </c>
      <c r="O24" s="253">
        <v>145839.38</v>
      </c>
    </row>
    <row r="25" spans="1:15" ht="12.75">
      <c r="A25" s="164" t="s">
        <v>138</v>
      </c>
      <c r="B25" s="164" t="s">
        <v>256</v>
      </c>
      <c r="C25" s="201">
        <v>3331.44</v>
      </c>
      <c r="D25" s="202">
        <v>1665.72</v>
      </c>
      <c r="E25" s="202">
        <v>1665.72</v>
      </c>
      <c r="F25" s="202">
        <v>1665.72</v>
      </c>
      <c r="G25" s="202">
        <v>3331.44</v>
      </c>
      <c r="H25" s="202">
        <v>3331.44</v>
      </c>
      <c r="I25" s="202">
        <v>6662.88</v>
      </c>
      <c r="J25" s="202">
        <v>3331.44</v>
      </c>
      <c r="K25" s="202">
        <v>1665.72</v>
      </c>
      <c r="L25" s="202">
        <v>1665.72</v>
      </c>
      <c r="M25" s="202">
        <v>1665.72</v>
      </c>
      <c r="N25" s="202">
        <v>3331.44</v>
      </c>
      <c r="O25" s="203">
        <v>33314.4</v>
      </c>
    </row>
    <row r="26" spans="1:15" ht="12.75">
      <c r="A26" s="163"/>
      <c r="B26" s="122" t="s">
        <v>149</v>
      </c>
      <c r="C26" s="388">
        <v>84.03999999999996</v>
      </c>
      <c r="D26" s="389">
        <v>42.01999999999998</v>
      </c>
      <c r="E26" s="389">
        <v>42.01999999999998</v>
      </c>
      <c r="F26" s="389">
        <v>42.01999999999998</v>
      </c>
      <c r="G26" s="389">
        <v>84.03999999999996</v>
      </c>
      <c r="H26" s="389">
        <v>84.03999999999996</v>
      </c>
      <c r="I26" s="389">
        <v>57.23999999999978</v>
      </c>
      <c r="J26" s="389">
        <v>28.61999999999989</v>
      </c>
      <c r="K26" s="389">
        <v>14.309999999999945</v>
      </c>
      <c r="L26" s="389">
        <v>14.309999999999945</v>
      </c>
      <c r="M26" s="389">
        <v>14.309999999999945</v>
      </c>
      <c r="N26" s="389">
        <v>28.61999999999989</v>
      </c>
      <c r="O26" s="390">
        <v>535.5899999999992</v>
      </c>
    </row>
    <row r="27" spans="1:15" ht="12.75">
      <c r="A27" s="163"/>
      <c r="B27" s="122" t="s">
        <v>150</v>
      </c>
      <c r="C27" s="388">
        <v>4.486094504676821</v>
      </c>
      <c r="D27" s="389">
        <v>2.1246580975696014</v>
      </c>
      <c r="E27" s="389">
        <v>1.9942793361448967</v>
      </c>
      <c r="F27" s="389">
        <v>1.8769143117940532</v>
      </c>
      <c r="G27" s="389">
        <v>3.4771824947611183</v>
      </c>
      <c r="H27" s="389">
        <v>3.2121814977307324</v>
      </c>
      <c r="I27" s="389">
        <v>2.0230713996347696</v>
      </c>
      <c r="J27" s="389">
        <v>0.9144455597781147</v>
      </c>
      <c r="K27" s="389">
        <v>0.41311322464898964</v>
      </c>
      <c r="L27" s="389">
        <v>0.3634636864560604</v>
      </c>
      <c r="M27" s="389">
        <v>0.3169172444001893</v>
      </c>
      <c r="N27" s="389">
        <v>0.5377384675765999</v>
      </c>
      <c r="O27" s="390">
        <v>21.740059825171947</v>
      </c>
    </row>
    <row r="28" spans="1:15" ht="12.75">
      <c r="A28" s="163"/>
      <c r="B28" s="122" t="s">
        <v>151</v>
      </c>
      <c r="C28" s="388">
        <v>88.52609450467679</v>
      </c>
      <c r="D28" s="389">
        <v>44.14465809756958</v>
      </c>
      <c r="E28" s="389">
        <v>44.01427933614488</v>
      </c>
      <c r="F28" s="389">
        <v>43.896914311794035</v>
      </c>
      <c r="G28" s="389">
        <v>87.51718249476109</v>
      </c>
      <c r="H28" s="389">
        <v>87.2521814977307</v>
      </c>
      <c r="I28" s="389">
        <v>59.263071399634555</v>
      </c>
      <c r="J28" s="389">
        <v>29.534445559778007</v>
      </c>
      <c r="K28" s="389">
        <v>14.723113224648936</v>
      </c>
      <c r="L28" s="389">
        <v>14.673463686456007</v>
      </c>
      <c r="M28" s="389">
        <v>14.626917244400135</v>
      </c>
      <c r="N28" s="389">
        <v>29.15773846757649</v>
      </c>
      <c r="O28" s="390">
        <v>557.3300598251712</v>
      </c>
    </row>
    <row r="29" spans="1:15" ht="12.75">
      <c r="A29" s="163"/>
      <c r="B29" s="122" t="s">
        <v>211</v>
      </c>
      <c r="C29" s="251">
        <v>3247.4</v>
      </c>
      <c r="D29" s="252">
        <v>1623.7</v>
      </c>
      <c r="E29" s="252">
        <v>1623.7</v>
      </c>
      <c r="F29" s="252">
        <v>1623.7</v>
      </c>
      <c r="G29" s="252">
        <v>3247.4</v>
      </c>
      <c r="H29" s="252">
        <v>3247.4</v>
      </c>
      <c r="I29" s="252">
        <v>6605.64</v>
      </c>
      <c r="J29" s="252">
        <v>3302.82</v>
      </c>
      <c r="K29" s="252">
        <v>1651.41</v>
      </c>
      <c r="L29" s="252">
        <v>1651.41</v>
      </c>
      <c r="M29" s="252">
        <v>1651.41</v>
      </c>
      <c r="N29" s="252">
        <v>3302.82</v>
      </c>
      <c r="O29" s="253">
        <v>32778.81</v>
      </c>
    </row>
    <row r="30" spans="1:15" ht="12.75">
      <c r="A30" s="164" t="s">
        <v>141</v>
      </c>
      <c r="B30" s="164" t="s">
        <v>256</v>
      </c>
      <c r="C30" s="201">
        <v>26651.52</v>
      </c>
      <c r="D30" s="202">
        <v>36645.840000000004</v>
      </c>
      <c r="E30" s="202">
        <v>34980.12</v>
      </c>
      <c r="F30" s="202">
        <v>33314.4</v>
      </c>
      <c r="G30" s="202">
        <v>36645.840000000004</v>
      </c>
      <c r="H30" s="202">
        <v>31648.68</v>
      </c>
      <c r="I30" s="202">
        <v>23320.08</v>
      </c>
      <c r="J30" s="202">
        <v>23320.08</v>
      </c>
      <c r="K30" s="202">
        <v>26651.52</v>
      </c>
      <c r="L30" s="202">
        <v>28317.24</v>
      </c>
      <c r="M30" s="202">
        <v>28317.24</v>
      </c>
      <c r="N30" s="202">
        <v>36645.840000000004</v>
      </c>
      <c r="O30" s="203">
        <v>366458.4</v>
      </c>
    </row>
    <row r="31" spans="1:15" ht="12.75">
      <c r="A31" s="163"/>
      <c r="B31" s="122" t="s">
        <v>149</v>
      </c>
      <c r="C31" s="388">
        <v>672.3199999999997</v>
      </c>
      <c r="D31" s="389">
        <v>924.4400000000023</v>
      </c>
      <c r="E31" s="389">
        <v>882.4199999999983</v>
      </c>
      <c r="F31" s="389">
        <v>840.4000000000015</v>
      </c>
      <c r="G31" s="389">
        <v>924.4400000000023</v>
      </c>
      <c r="H31" s="389">
        <v>798.380000000001</v>
      </c>
      <c r="I31" s="389">
        <v>200.34000000000015</v>
      </c>
      <c r="J31" s="389">
        <v>200.34000000000015</v>
      </c>
      <c r="K31" s="389">
        <v>228.95999999999913</v>
      </c>
      <c r="L31" s="389">
        <v>243.27000000000044</v>
      </c>
      <c r="M31" s="389">
        <v>243.27000000000044</v>
      </c>
      <c r="N31" s="389">
        <v>314.8199999999997</v>
      </c>
      <c r="O31" s="390">
        <v>6473.400000000005</v>
      </c>
    </row>
    <row r="32" spans="1:15" ht="12.75">
      <c r="A32" s="163"/>
      <c r="B32" s="122" t="s">
        <v>150</v>
      </c>
      <c r="C32" s="388">
        <v>35.888756037414566</v>
      </c>
      <c r="D32" s="389">
        <v>46.74247814653137</v>
      </c>
      <c r="E32" s="389">
        <v>41.87986605904277</v>
      </c>
      <c r="F32" s="389">
        <v>37.538286235881145</v>
      </c>
      <c r="G32" s="389">
        <v>38.24900744237242</v>
      </c>
      <c r="H32" s="389">
        <v>30.515724228442007</v>
      </c>
      <c r="I32" s="389">
        <v>7.080749898721725</v>
      </c>
      <c r="J32" s="389">
        <v>6.401118918446832</v>
      </c>
      <c r="K32" s="389">
        <v>6.609811594383834</v>
      </c>
      <c r="L32" s="389">
        <v>6.178882669753062</v>
      </c>
      <c r="M32" s="389">
        <v>5.387593154803248</v>
      </c>
      <c r="N32" s="389">
        <v>5.915123143342616</v>
      </c>
      <c r="O32" s="390">
        <v>268.3873975291356</v>
      </c>
    </row>
    <row r="33" spans="1:15" ht="12.75">
      <c r="A33" s="163"/>
      <c r="B33" s="122" t="s">
        <v>151</v>
      </c>
      <c r="C33" s="388">
        <v>708.2087560374143</v>
      </c>
      <c r="D33" s="389">
        <v>971.1824781465336</v>
      </c>
      <c r="E33" s="389">
        <v>924.299866059041</v>
      </c>
      <c r="F33" s="389">
        <v>877.9382862358826</v>
      </c>
      <c r="G33" s="389">
        <v>962.6890074423748</v>
      </c>
      <c r="H33" s="389">
        <v>828.895724228443</v>
      </c>
      <c r="I33" s="389">
        <v>207.42074989872188</v>
      </c>
      <c r="J33" s="389">
        <v>206.74111891844697</v>
      </c>
      <c r="K33" s="389">
        <v>235.56981159438297</v>
      </c>
      <c r="L33" s="389">
        <v>249.4488826697535</v>
      </c>
      <c r="M33" s="389">
        <v>248.6575931548037</v>
      </c>
      <c r="N33" s="389">
        <v>320.7351231433423</v>
      </c>
      <c r="O33" s="390">
        <v>6741.78739752914</v>
      </c>
    </row>
    <row r="34" spans="1:15" ht="12.75">
      <c r="A34" s="163"/>
      <c r="B34" s="122" t="s">
        <v>211</v>
      </c>
      <c r="C34" s="251">
        <v>25979.2</v>
      </c>
      <c r="D34" s="252">
        <v>35721.4</v>
      </c>
      <c r="E34" s="252">
        <v>34097.700000000004</v>
      </c>
      <c r="F34" s="252">
        <v>32474</v>
      </c>
      <c r="G34" s="252">
        <v>35721.4</v>
      </c>
      <c r="H34" s="252">
        <v>30850.3</v>
      </c>
      <c r="I34" s="252">
        <v>23119.74</v>
      </c>
      <c r="J34" s="252">
        <v>23119.74</v>
      </c>
      <c r="K34" s="252">
        <v>26422.56</v>
      </c>
      <c r="L34" s="252">
        <v>28073.97</v>
      </c>
      <c r="M34" s="252">
        <v>28073.97</v>
      </c>
      <c r="N34" s="252">
        <v>36331.020000000004</v>
      </c>
      <c r="O34" s="253">
        <v>359985</v>
      </c>
    </row>
    <row r="35" spans="1:15" ht="12.75">
      <c r="A35" s="164" t="s">
        <v>117</v>
      </c>
      <c r="B35" s="164" t="s">
        <v>256</v>
      </c>
      <c r="C35" s="201">
        <v>143251.92</v>
      </c>
      <c r="D35" s="202">
        <v>118266.12</v>
      </c>
      <c r="E35" s="202">
        <v>149914.8</v>
      </c>
      <c r="F35" s="202">
        <v>131591.88</v>
      </c>
      <c r="G35" s="202">
        <v>181563.48</v>
      </c>
      <c r="H35" s="202">
        <v>226537.92</v>
      </c>
      <c r="I35" s="202">
        <v>249858</v>
      </c>
      <c r="J35" s="202">
        <v>228203.64</v>
      </c>
      <c r="K35" s="202">
        <v>223206.48</v>
      </c>
      <c r="L35" s="202">
        <v>141586.2</v>
      </c>
      <c r="M35" s="202">
        <v>113268.96</v>
      </c>
      <c r="N35" s="202">
        <v>148249.08000000002</v>
      </c>
      <c r="O35" s="203">
        <v>2055498.4800000002</v>
      </c>
    </row>
    <row r="36" spans="1:15" ht="12.75">
      <c r="A36" s="163"/>
      <c r="B36" s="122" t="s">
        <v>149</v>
      </c>
      <c r="C36" s="388">
        <v>3613.720000000001</v>
      </c>
      <c r="D36" s="389">
        <v>2983.4199999999983</v>
      </c>
      <c r="E36" s="389">
        <v>3781.7999999999884</v>
      </c>
      <c r="F36" s="389">
        <v>3319.5800000000017</v>
      </c>
      <c r="G36" s="389">
        <v>4580.179999999993</v>
      </c>
      <c r="H36" s="389">
        <v>5714.720000000001</v>
      </c>
      <c r="I36" s="389">
        <v>2146.5</v>
      </c>
      <c r="J36" s="389">
        <v>1960.4700000000012</v>
      </c>
      <c r="K36" s="389">
        <v>1917.5400000000081</v>
      </c>
      <c r="L36" s="389">
        <v>1216.3500000000058</v>
      </c>
      <c r="M36" s="389">
        <v>973.0800000000017</v>
      </c>
      <c r="N36" s="389">
        <v>1273.5899999999965</v>
      </c>
      <c r="O36" s="390">
        <v>33480.95</v>
      </c>
    </row>
    <row r="37" spans="1:15" ht="12.75">
      <c r="A37" s="163"/>
      <c r="B37" s="122" t="s">
        <v>150</v>
      </c>
      <c r="C37" s="388">
        <v>192.90206370110346</v>
      </c>
      <c r="D37" s="389">
        <v>150.85072492744166</v>
      </c>
      <c r="E37" s="389">
        <v>179.4851402530402</v>
      </c>
      <c r="F37" s="389">
        <v>148.27623063173036</v>
      </c>
      <c r="G37" s="389">
        <v>189.50644596448072</v>
      </c>
      <c r="H37" s="389">
        <v>218.42834184568994</v>
      </c>
      <c r="I37" s="389">
        <v>75.86517748630416</v>
      </c>
      <c r="J37" s="389">
        <v>62.63952084480113</v>
      </c>
      <c r="K37" s="389">
        <v>55.35717210296506</v>
      </c>
      <c r="L37" s="389">
        <v>30.894413348765404</v>
      </c>
      <c r="M37" s="389">
        <v>21.550372619212993</v>
      </c>
      <c r="N37" s="389">
        <v>23.92936180715872</v>
      </c>
      <c r="O37" s="390">
        <v>1349.684965532694</v>
      </c>
    </row>
    <row r="38" spans="1:15" ht="12.75">
      <c r="A38" s="163"/>
      <c r="B38" s="122" t="s">
        <v>151</v>
      </c>
      <c r="C38" s="388">
        <v>3806.6220637011047</v>
      </c>
      <c r="D38" s="389">
        <v>3134.27072492744</v>
      </c>
      <c r="E38" s="389">
        <v>3961.2851402530287</v>
      </c>
      <c r="F38" s="389">
        <v>3467.856230631732</v>
      </c>
      <c r="G38" s="389">
        <v>4769.686445964474</v>
      </c>
      <c r="H38" s="389">
        <v>5933.148341845691</v>
      </c>
      <c r="I38" s="389">
        <v>2222.365177486304</v>
      </c>
      <c r="J38" s="389">
        <v>2023.1095208448023</v>
      </c>
      <c r="K38" s="389">
        <v>1972.8971721029732</v>
      </c>
      <c r="L38" s="389">
        <v>1247.2444133487713</v>
      </c>
      <c r="M38" s="389">
        <v>994.6303726192148</v>
      </c>
      <c r="N38" s="389">
        <v>1297.5193618071553</v>
      </c>
      <c r="O38" s="390">
        <v>34830.63496553269</v>
      </c>
    </row>
    <row r="39" spans="1:15" ht="12.75">
      <c r="A39" s="163"/>
      <c r="B39" s="122" t="s">
        <v>211</v>
      </c>
      <c r="C39" s="251">
        <v>139638.2</v>
      </c>
      <c r="D39" s="252">
        <v>115282.7</v>
      </c>
      <c r="E39" s="252">
        <v>146133</v>
      </c>
      <c r="F39" s="252">
        <v>128272.3</v>
      </c>
      <c r="G39" s="252">
        <v>176983.30000000002</v>
      </c>
      <c r="H39" s="252">
        <v>220823.2</v>
      </c>
      <c r="I39" s="252">
        <v>247711.5</v>
      </c>
      <c r="J39" s="252">
        <v>226243.17</v>
      </c>
      <c r="K39" s="252">
        <v>221288.94</v>
      </c>
      <c r="L39" s="252">
        <v>140369.85</v>
      </c>
      <c r="M39" s="252">
        <v>112295.88</v>
      </c>
      <c r="N39" s="252">
        <v>146975.49000000002</v>
      </c>
      <c r="O39" s="253">
        <v>2022017.53</v>
      </c>
    </row>
    <row r="40" spans="1:15" ht="12.75">
      <c r="A40" s="164" t="s">
        <v>143</v>
      </c>
      <c r="B40" s="164" t="s">
        <v>256</v>
      </c>
      <c r="C40" s="201">
        <v>4487449.68</v>
      </c>
      <c r="D40" s="202">
        <v>3767858.64</v>
      </c>
      <c r="E40" s="202">
        <v>4557409.92</v>
      </c>
      <c r="F40" s="202">
        <v>4185954.36</v>
      </c>
      <c r="G40" s="202">
        <v>5315312.5200000005</v>
      </c>
      <c r="H40" s="202">
        <v>6139843.92</v>
      </c>
      <c r="I40" s="202">
        <v>6654551.4</v>
      </c>
      <c r="J40" s="202">
        <v>6233124.24</v>
      </c>
      <c r="K40" s="202">
        <v>6078212.28</v>
      </c>
      <c r="L40" s="202">
        <v>4933862.64</v>
      </c>
      <c r="M40" s="202">
        <v>3736209.96</v>
      </c>
      <c r="N40" s="202">
        <v>4710656.16</v>
      </c>
      <c r="O40" s="203">
        <v>60800445.72</v>
      </c>
    </row>
    <row r="41" spans="1:15" ht="12.75">
      <c r="A41" s="163"/>
      <c r="B41" s="122" t="s">
        <v>149</v>
      </c>
      <c r="C41" s="388">
        <v>113201.87999999989</v>
      </c>
      <c r="D41" s="389">
        <v>95049.24000000022</v>
      </c>
      <c r="E41" s="389">
        <v>114966.71999999974</v>
      </c>
      <c r="F41" s="389">
        <v>105596.25999999978</v>
      </c>
      <c r="G41" s="389">
        <v>134085.8200000003</v>
      </c>
      <c r="H41" s="389">
        <v>154885.71999999974</v>
      </c>
      <c r="I41" s="389">
        <v>57168.450000000186</v>
      </c>
      <c r="J41" s="389">
        <v>53548.01999999955</v>
      </c>
      <c r="K41" s="389">
        <v>52217.19000000041</v>
      </c>
      <c r="L41" s="389">
        <v>42386.21999999974</v>
      </c>
      <c r="M41" s="389">
        <v>32097.32999999961</v>
      </c>
      <c r="N41" s="389">
        <v>40468.6799999997</v>
      </c>
      <c r="O41" s="390">
        <v>995671.5299999989</v>
      </c>
    </row>
    <row r="42" spans="1:15" ht="12.75">
      <c r="A42" s="163"/>
      <c r="B42" s="122" t="s">
        <v>150</v>
      </c>
      <c r="C42" s="388">
        <v>6042.769297799675</v>
      </c>
      <c r="D42" s="389">
        <v>4805.976616702452</v>
      </c>
      <c r="E42" s="389">
        <v>5456.348263692427</v>
      </c>
      <c r="F42" s="389">
        <v>4716.685665538448</v>
      </c>
      <c r="G42" s="389">
        <v>5547.844670391379</v>
      </c>
      <c r="H42" s="389">
        <v>5920.050500317733</v>
      </c>
      <c r="I42" s="389">
        <v>2020.5425603852404</v>
      </c>
      <c r="J42" s="389">
        <v>1710.927642344845</v>
      </c>
      <c r="K42" s="389">
        <v>1507.4501567441807</v>
      </c>
      <c r="L42" s="389">
        <v>1076.5794392828484</v>
      </c>
      <c r="M42" s="389">
        <v>710.8453791896187</v>
      </c>
      <c r="N42" s="389">
        <v>760.3621931533096</v>
      </c>
      <c r="O42" s="390">
        <v>40276.382385542165</v>
      </c>
    </row>
    <row r="43" spans="1:15" ht="12.75">
      <c r="A43" s="163"/>
      <c r="B43" s="122" t="s">
        <v>151</v>
      </c>
      <c r="C43" s="388">
        <v>119244.64929779957</v>
      </c>
      <c r="D43" s="389">
        <v>99855.21661670267</v>
      </c>
      <c r="E43" s="389">
        <v>120423.06826369217</v>
      </c>
      <c r="F43" s="389">
        <v>110312.94566553822</v>
      </c>
      <c r="G43" s="389">
        <v>139633.66467039168</v>
      </c>
      <c r="H43" s="389">
        <v>160805.77050031748</v>
      </c>
      <c r="I43" s="389">
        <v>59188.99256038543</v>
      </c>
      <c r="J43" s="389">
        <v>55258.9476423444</v>
      </c>
      <c r="K43" s="389">
        <v>53724.640156744594</v>
      </c>
      <c r="L43" s="389">
        <v>43462.799439282586</v>
      </c>
      <c r="M43" s="389">
        <v>32808.175379189226</v>
      </c>
      <c r="N43" s="389">
        <v>41229.042193153015</v>
      </c>
      <c r="O43" s="390">
        <v>1035947.912385541</v>
      </c>
    </row>
    <row r="44" spans="1:15" ht="12.75">
      <c r="A44" s="163"/>
      <c r="B44" s="122" t="s">
        <v>211</v>
      </c>
      <c r="C44" s="251">
        <v>4374247.8</v>
      </c>
      <c r="D44" s="252">
        <v>3672809.4</v>
      </c>
      <c r="E44" s="252">
        <v>4442443.2</v>
      </c>
      <c r="F44" s="252">
        <v>4080358.1</v>
      </c>
      <c r="G44" s="252">
        <v>5181226.7</v>
      </c>
      <c r="H44" s="252">
        <v>5984958.2</v>
      </c>
      <c r="I44" s="252">
        <v>6597382.95</v>
      </c>
      <c r="J44" s="252">
        <v>6179576.220000001</v>
      </c>
      <c r="K44" s="252">
        <v>6025995.09</v>
      </c>
      <c r="L44" s="252">
        <v>4891476.42</v>
      </c>
      <c r="M44" s="252">
        <v>3704112.6300000004</v>
      </c>
      <c r="N44" s="252">
        <v>4670187.48</v>
      </c>
      <c r="O44" s="253">
        <v>59804774.19</v>
      </c>
    </row>
    <row r="45" spans="1:15" ht="12.75">
      <c r="A45" s="164" t="s">
        <v>144</v>
      </c>
      <c r="B45" s="164" t="s">
        <v>256</v>
      </c>
      <c r="C45" s="201">
        <v>4925534.04</v>
      </c>
      <c r="D45" s="202">
        <v>4001059.44</v>
      </c>
      <c r="E45" s="202">
        <v>4032708.12</v>
      </c>
      <c r="F45" s="202">
        <v>4032708.12</v>
      </c>
      <c r="G45" s="202">
        <v>4827256.5600000005</v>
      </c>
      <c r="H45" s="202">
        <v>5446904.4</v>
      </c>
      <c r="I45" s="202">
        <v>5863334.4</v>
      </c>
      <c r="J45" s="202">
        <v>5495210.28</v>
      </c>
      <c r="K45" s="202">
        <v>5523527.5200000005</v>
      </c>
      <c r="L45" s="202">
        <v>5386938.48</v>
      </c>
      <c r="M45" s="202">
        <v>4007722.3200000003</v>
      </c>
      <c r="N45" s="202">
        <v>4465795.32</v>
      </c>
      <c r="O45" s="203">
        <v>58008699</v>
      </c>
    </row>
    <row r="46" spans="1:15" ht="12.75">
      <c r="A46" s="163"/>
      <c r="B46" s="122" t="s">
        <v>149</v>
      </c>
      <c r="C46" s="388">
        <v>124253.13999999966</v>
      </c>
      <c r="D46" s="389">
        <v>100932.04000000004</v>
      </c>
      <c r="E46" s="389">
        <v>101730.41999999993</v>
      </c>
      <c r="F46" s="389">
        <v>101730.41999999993</v>
      </c>
      <c r="G46" s="389">
        <v>121773.95999999996</v>
      </c>
      <c r="H46" s="389">
        <v>137405.40000000037</v>
      </c>
      <c r="I46" s="389">
        <v>50371.200000000186</v>
      </c>
      <c r="J46" s="389">
        <v>47208.69000000041</v>
      </c>
      <c r="K46" s="389">
        <v>47451.95999999996</v>
      </c>
      <c r="L46" s="389">
        <v>46278.54000000004</v>
      </c>
      <c r="M46" s="389">
        <v>34429.85999999987</v>
      </c>
      <c r="N46" s="389">
        <v>38365.110000000335</v>
      </c>
      <c r="O46" s="390">
        <v>951930.7400000007</v>
      </c>
    </row>
    <row r="47" spans="1:15" ht="12.75">
      <c r="A47" s="163"/>
      <c r="B47" s="122" t="s">
        <v>150</v>
      </c>
      <c r="C47" s="388">
        <v>6632.690725164664</v>
      </c>
      <c r="D47" s="389">
        <v>5103.428750362187</v>
      </c>
      <c r="E47" s="389">
        <v>4828.1502728067935</v>
      </c>
      <c r="F47" s="389">
        <v>4544.009548853402</v>
      </c>
      <c r="G47" s="389">
        <v>5038.437434908861</v>
      </c>
      <c r="H47" s="389">
        <v>5251.916748789764</v>
      </c>
      <c r="I47" s="389">
        <v>1780.3028316786108</v>
      </c>
      <c r="J47" s="389">
        <v>1508.3779508540192</v>
      </c>
      <c r="K47" s="389">
        <v>1369.8834529360538</v>
      </c>
      <c r="L47" s="389">
        <v>1175.441561998905</v>
      </c>
      <c r="M47" s="389">
        <v>762.5028900268555</v>
      </c>
      <c r="N47" s="389">
        <v>720.8384157864413</v>
      </c>
      <c r="O47" s="390">
        <v>38715.980584166566</v>
      </c>
    </row>
    <row r="48" spans="1:15" ht="12.75">
      <c r="A48" s="163"/>
      <c r="B48" s="122" t="s">
        <v>151</v>
      </c>
      <c r="C48" s="388">
        <v>130885.83072516433</v>
      </c>
      <c r="D48" s="389">
        <v>106035.46875036223</v>
      </c>
      <c r="E48" s="389">
        <v>106558.57027280671</v>
      </c>
      <c r="F48" s="389">
        <v>106274.42954885332</v>
      </c>
      <c r="G48" s="389">
        <v>126812.39743490882</v>
      </c>
      <c r="H48" s="389">
        <v>142657.31674879012</v>
      </c>
      <c r="I48" s="389">
        <v>52151.502831678794</v>
      </c>
      <c r="J48" s="389">
        <v>48717.06795085443</v>
      </c>
      <c r="K48" s="389">
        <v>48821.84345293602</v>
      </c>
      <c r="L48" s="389">
        <v>47453.98156199894</v>
      </c>
      <c r="M48" s="389">
        <v>35192.36289002673</v>
      </c>
      <c r="N48" s="389">
        <v>39085.94841578678</v>
      </c>
      <c r="O48" s="390">
        <v>990646.7205841672</v>
      </c>
    </row>
    <row r="49" spans="1:15" ht="12.75">
      <c r="A49" s="163"/>
      <c r="B49" s="122" t="s">
        <v>211</v>
      </c>
      <c r="C49" s="251">
        <v>4801280.9</v>
      </c>
      <c r="D49" s="252">
        <v>3900127.4</v>
      </c>
      <c r="E49" s="252">
        <v>3930977.7</v>
      </c>
      <c r="F49" s="252">
        <v>3930977.7</v>
      </c>
      <c r="G49" s="252">
        <v>4705482.600000001</v>
      </c>
      <c r="H49" s="252">
        <v>5309499</v>
      </c>
      <c r="I49" s="252">
        <v>5812963.2</v>
      </c>
      <c r="J49" s="252">
        <v>5448001.59</v>
      </c>
      <c r="K49" s="252">
        <v>5476075.5600000005</v>
      </c>
      <c r="L49" s="252">
        <v>5340659.94</v>
      </c>
      <c r="M49" s="252">
        <v>3973292.4600000004</v>
      </c>
      <c r="N49" s="252">
        <v>4427430.21</v>
      </c>
      <c r="O49" s="253">
        <v>57056768.260000005</v>
      </c>
    </row>
    <row r="50" spans="1:15" ht="12.75">
      <c r="A50" s="164" t="s">
        <v>118</v>
      </c>
      <c r="B50" s="164" t="s">
        <v>256</v>
      </c>
      <c r="C50" s="201">
        <v>78288.84</v>
      </c>
      <c r="D50" s="202">
        <v>54968.76</v>
      </c>
      <c r="E50" s="202">
        <v>43308.72</v>
      </c>
      <c r="F50" s="202">
        <v>46640.16</v>
      </c>
      <c r="G50" s="202">
        <v>54968.76</v>
      </c>
      <c r="H50" s="202">
        <v>64963.08</v>
      </c>
      <c r="I50" s="202">
        <v>68294.52</v>
      </c>
      <c r="J50" s="202">
        <v>66628.8</v>
      </c>
      <c r="K50" s="202">
        <v>61631.64</v>
      </c>
      <c r="L50" s="202">
        <v>51637.32</v>
      </c>
      <c r="M50" s="202">
        <v>44974.44</v>
      </c>
      <c r="N50" s="202">
        <v>69960.24</v>
      </c>
      <c r="O50" s="203">
        <v>706265.28</v>
      </c>
    </row>
    <row r="51" spans="1:15" ht="12.75">
      <c r="A51" s="163"/>
      <c r="B51" s="122" t="s">
        <v>149</v>
      </c>
      <c r="C51" s="388">
        <v>1974.9399999999878</v>
      </c>
      <c r="D51" s="389">
        <v>1386.6600000000035</v>
      </c>
      <c r="E51" s="389">
        <v>1092.5199999999968</v>
      </c>
      <c r="F51" s="389">
        <v>1176.560000000005</v>
      </c>
      <c r="G51" s="389">
        <v>1386.6600000000035</v>
      </c>
      <c r="H51" s="389">
        <v>1638.7799999999988</v>
      </c>
      <c r="I51" s="389">
        <v>586.7100000000064</v>
      </c>
      <c r="J51" s="389">
        <v>572.3999999999942</v>
      </c>
      <c r="K51" s="389">
        <v>529.4699999999939</v>
      </c>
      <c r="L51" s="389">
        <v>443.6100000000006</v>
      </c>
      <c r="M51" s="389">
        <v>386.3700000000026</v>
      </c>
      <c r="N51" s="389">
        <v>601.0200000000041</v>
      </c>
      <c r="O51" s="390">
        <v>11775.699999999997</v>
      </c>
    </row>
    <row r="52" spans="1:15" ht="12.75">
      <c r="A52" s="163"/>
      <c r="B52" s="122" t="s">
        <v>150</v>
      </c>
      <c r="C52" s="388">
        <v>105.42322085990469</v>
      </c>
      <c r="D52" s="389">
        <v>70.11371721979705</v>
      </c>
      <c r="E52" s="389">
        <v>51.85126273976718</v>
      </c>
      <c r="F52" s="389">
        <v>52.55360073023373</v>
      </c>
      <c r="G52" s="389">
        <v>57.37351116355862</v>
      </c>
      <c r="H52" s="389">
        <v>62.63753920574926</v>
      </c>
      <c r="I52" s="389">
        <v>20.736481846256694</v>
      </c>
      <c r="J52" s="389">
        <v>18.28891119556218</v>
      </c>
      <c r="K52" s="389">
        <v>15.285189312012498</v>
      </c>
      <c r="L52" s="389">
        <v>11.26737428013793</v>
      </c>
      <c r="M52" s="389">
        <v>8.556765598805203</v>
      </c>
      <c r="N52" s="389">
        <v>11.29250781910872</v>
      </c>
      <c r="O52" s="390">
        <v>485.3800819708938</v>
      </c>
    </row>
    <row r="53" spans="1:15" ht="12.75">
      <c r="A53" s="163"/>
      <c r="B53" s="122" t="s">
        <v>151</v>
      </c>
      <c r="C53" s="388">
        <v>2080.3632208598924</v>
      </c>
      <c r="D53" s="389">
        <v>1456.7737172198006</v>
      </c>
      <c r="E53" s="389">
        <v>1144.371262739764</v>
      </c>
      <c r="F53" s="389">
        <v>1229.1136007302387</v>
      </c>
      <c r="G53" s="389">
        <v>1444.033511163562</v>
      </c>
      <c r="H53" s="389">
        <v>1701.4175392057482</v>
      </c>
      <c r="I53" s="389">
        <v>607.446481846263</v>
      </c>
      <c r="J53" s="389">
        <v>590.6889111955563</v>
      </c>
      <c r="K53" s="389">
        <v>544.7551893120063</v>
      </c>
      <c r="L53" s="389">
        <v>454.8773742801385</v>
      </c>
      <c r="M53" s="389">
        <v>394.92676559880783</v>
      </c>
      <c r="N53" s="389">
        <v>612.3125078191127</v>
      </c>
      <c r="O53" s="390">
        <v>12261.080081970893</v>
      </c>
    </row>
    <row r="54" spans="1:15" ht="12.75">
      <c r="A54" s="163"/>
      <c r="B54" s="122" t="s">
        <v>211</v>
      </c>
      <c r="C54" s="251">
        <v>76313.90000000001</v>
      </c>
      <c r="D54" s="252">
        <v>53582.1</v>
      </c>
      <c r="E54" s="252">
        <v>42216.200000000004</v>
      </c>
      <c r="F54" s="252">
        <v>45463.6</v>
      </c>
      <c r="G54" s="252">
        <v>53582.1</v>
      </c>
      <c r="H54" s="252">
        <v>63324.3</v>
      </c>
      <c r="I54" s="252">
        <v>67707.81</v>
      </c>
      <c r="J54" s="252">
        <v>66056.40000000001</v>
      </c>
      <c r="K54" s="252">
        <v>61102.170000000006</v>
      </c>
      <c r="L54" s="252">
        <v>51193.71</v>
      </c>
      <c r="M54" s="252">
        <v>44588.07</v>
      </c>
      <c r="N54" s="252">
        <v>69359.22</v>
      </c>
      <c r="O54" s="253">
        <v>694489.58</v>
      </c>
    </row>
    <row r="55" spans="1:15" ht="12.75">
      <c r="A55" s="164" t="s">
        <v>218</v>
      </c>
      <c r="B55" s="164" t="s">
        <v>256</v>
      </c>
      <c r="C55" s="201">
        <v>161574.84</v>
      </c>
      <c r="D55" s="202">
        <v>146583.36000000002</v>
      </c>
      <c r="E55" s="202">
        <v>154911.96</v>
      </c>
      <c r="F55" s="202">
        <v>166572</v>
      </c>
      <c r="G55" s="202">
        <v>194889.24</v>
      </c>
      <c r="H55" s="202">
        <v>229869.36000000002</v>
      </c>
      <c r="I55" s="202">
        <v>253189.44</v>
      </c>
      <c r="J55" s="202">
        <v>229869.36000000002</v>
      </c>
      <c r="K55" s="202">
        <v>236532.24</v>
      </c>
      <c r="L55" s="202">
        <v>193223.52</v>
      </c>
      <c r="M55" s="202">
        <v>141586.2</v>
      </c>
      <c r="N55" s="202">
        <v>179897.76</v>
      </c>
      <c r="O55" s="203">
        <v>2288699.2800000003</v>
      </c>
    </row>
    <row r="56" spans="1:15" ht="12.75">
      <c r="A56" s="163"/>
      <c r="B56" s="122" t="s">
        <v>149</v>
      </c>
      <c r="C56" s="251">
        <v>4075.9400000000023</v>
      </c>
      <c r="D56" s="252">
        <v>3697.7600000000093</v>
      </c>
      <c r="E56" s="252">
        <v>3907.859999999986</v>
      </c>
      <c r="F56" s="252">
        <v>4202</v>
      </c>
      <c r="G56" s="252">
        <v>4916.3399999999965</v>
      </c>
      <c r="H56" s="252">
        <v>5798.760000000009</v>
      </c>
      <c r="I56" s="252">
        <v>2175.1199999999953</v>
      </c>
      <c r="J56" s="252">
        <v>1974.7799999999988</v>
      </c>
      <c r="K56" s="252">
        <v>2032.0199999999895</v>
      </c>
      <c r="L56" s="252">
        <v>1659.9599999999919</v>
      </c>
      <c r="M56" s="252">
        <v>1216.3500000000058</v>
      </c>
      <c r="N56" s="252">
        <v>1545.4800000000105</v>
      </c>
      <c r="O56" s="253">
        <v>37202.369999999995</v>
      </c>
    </row>
    <row r="57" spans="1:15" ht="12.75">
      <c r="A57" s="163"/>
      <c r="B57" s="122" t="s">
        <v>150</v>
      </c>
      <c r="C57" s="251">
        <v>217.575583476826</v>
      </c>
      <c r="D57" s="252">
        <v>186.96991258612547</v>
      </c>
      <c r="E57" s="252">
        <v>185.4679782614748</v>
      </c>
      <c r="F57" s="252">
        <v>187.6914311794054</v>
      </c>
      <c r="G57" s="252">
        <v>203.41517594352538</v>
      </c>
      <c r="H57" s="252">
        <v>221.640523343421</v>
      </c>
      <c r="I57" s="252">
        <v>76.87671318612138</v>
      </c>
      <c r="J57" s="252">
        <v>63.09674362469012</v>
      </c>
      <c r="K57" s="252">
        <v>58.662077900156454</v>
      </c>
      <c r="L57" s="252">
        <v>42.161787628902964</v>
      </c>
      <c r="M57" s="252">
        <v>26.937965774016327</v>
      </c>
      <c r="N57" s="252">
        <v>29.037877249136706</v>
      </c>
      <c r="O57" s="253">
        <v>1499.5337701538017</v>
      </c>
    </row>
    <row r="58" spans="1:15" ht="12.75">
      <c r="A58" s="163"/>
      <c r="B58" s="122" t="s">
        <v>151</v>
      </c>
      <c r="C58" s="251">
        <v>4293.515583476828</v>
      </c>
      <c r="D58" s="252">
        <v>3884.7299125861346</v>
      </c>
      <c r="E58" s="252">
        <v>4093.327978261461</v>
      </c>
      <c r="F58" s="252">
        <v>4389.691431179405</v>
      </c>
      <c r="G58" s="252">
        <v>5119.755175943522</v>
      </c>
      <c r="H58" s="252">
        <v>6020.40052334343</v>
      </c>
      <c r="I58" s="252">
        <v>2251.9967131861167</v>
      </c>
      <c r="J58" s="252">
        <v>2037.876743624689</v>
      </c>
      <c r="K58" s="252">
        <v>2090.682077900146</v>
      </c>
      <c r="L58" s="252">
        <v>1702.1217876288947</v>
      </c>
      <c r="M58" s="252">
        <v>1243.287965774022</v>
      </c>
      <c r="N58" s="252">
        <v>1574.5178772491472</v>
      </c>
      <c r="O58" s="253">
        <v>38701.903770153796</v>
      </c>
    </row>
    <row r="59" spans="1:15" ht="12.75">
      <c r="A59" s="163"/>
      <c r="B59" s="122" t="s">
        <v>211</v>
      </c>
      <c r="C59" s="251">
        <v>157498.9</v>
      </c>
      <c r="D59" s="252">
        <v>142885.6</v>
      </c>
      <c r="E59" s="252">
        <v>151004.1</v>
      </c>
      <c r="F59" s="252">
        <v>162370</v>
      </c>
      <c r="G59" s="252">
        <v>189972.9</v>
      </c>
      <c r="H59" s="252">
        <v>224070.6</v>
      </c>
      <c r="I59" s="252">
        <v>251014.32</v>
      </c>
      <c r="J59" s="252">
        <v>227894.58000000002</v>
      </c>
      <c r="K59" s="252">
        <v>234500.22</v>
      </c>
      <c r="L59" s="252">
        <v>191563.56</v>
      </c>
      <c r="M59" s="252">
        <v>140369.85</v>
      </c>
      <c r="N59" s="252">
        <v>178352.28</v>
      </c>
      <c r="O59" s="253">
        <v>2251496.91</v>
      </c>
    </row>
    <row r="60" spans="1:15" ht="12.75">
      <c r="A60" s="164" t="s">
        <v>219</v>
      </c>
      <c r="B60" s="164" t="s">
        <v>256</v>
      </c>
      <c r="C60" s="201">
        <v>18322.920000000002</v>
      </c>
      <c r="D60" s="202">
        <v>16657.2</v>
      </c>
      <c r="E60" s="202">
        <v>13325.76</v>
      </c>
      <c r="F60" s="202">
        <v>14991.48</v>
      </c>
      <c r="G60" s="202">
        <v>11660.04</v>
      </c>
      <c r="H60" s="202">
        <v>21654.36</v>
      </c>
      <c r="I60" s="202">
        <v>24985.8</v>
      </c>
      <c r="J60" s="202">
        <v>24985.8</v>
      </c>
      <c r="K60" s="202">
        <v>24985.8</v>
      </c>
      <c r="L60" s="202">
        <v>21654.36</v>
      </c>
      <c r="M60" s="202">
        <v>18322.920000000002</v>
      </c>
      <c r="N60" s="202">
        <v>11660.04</v>
      </c>
      <c r="O60" s="203">
        <v>223206.47999999998</v>
      </c>
    </row>
    <row r="61" spans="1:15" ht="12.75">
      <c r="A61" s="163"/>
      <c r="B61" s="122" t="s">
        <v>149</v>
      </c>
      <c r="C61" s="251">
        <v>462.22000000000116</v>
      </c>
      <c r="D61" s="252">
        <v>420.2000000000007</v>
      </c>
      <c r="E61" s="252">
        <v>336.15999999999985</v>
      </c>
      <c r="F61" s="252">
        <v>378.1799999999985</v>
      </c>
      <c r="G61" s="252">
        <v>294.14000000000124</v>
      </c>
      <c r="H61" s="252">
        <v>546.2599999999984</v>
      </c>
      <c r="I61" s="252">
        <v>214.64999999999782</v>
      </c>
      <c r="J61" s="252">
        <v>214.64999999999782</v>
      </c>
      <c r="K61" s="252">
        <v>214.64999999999782</v>
      </c>
      <c r="L61" s="252">
        <v>186.02999999999884</v>
      </c>
      <c r="M61" s="252">
        <v>157.40999999999985</v>
      </c>
      <c r="N61" s="252">
        <v>100.17000000000007</v>
      </c>
      <c r="O61" s="253">
        <v>3524.719999999992</v>
      </c>
    </row>
    <row r="62" spans="1:15" ht="12.75">
      <c r="A62" s="163"/>
      <c r="B62" s="122" t="s">
        <v>150</v>
      </c>
      <c r="C62" s="251">
        <v>24.67351977572259</v>
      </c>
      <c r="D62" s="252">
        <v>21.24658097569606</v>
      </c>
      <c r="E62" s="252">
        <v>15.954234689159174</v>
      </c>
      <c r="F62" s="252">
        <v>16.89222880614642</v>
      </c>
      <c r="G62" s="252">
        <v>12.170138731663972</v>
      </c>
      <c r="H62" s="252">
        <v>20.879179735249707</v>
      </c>
      <c r="I62" s="252">
        <v>7.586517748630337</v>
      </c>
      <c r="J62" s="252">
        <v>6.858341698335817</v>
      </c>
      <c r="K62" s="252">
        <v>6.196698369734805</v>
      </c>
      <c r="L62" s="252">
        <v>4.725027923928774</v>
      </c>
      <c r="M62" s="252">
        <v>3.4860896884020924</v>
      </c>
      <c r="N62" s="252">
        <v>1.8820846365181083</v>
      </c>
      <c r="O62" s="253">
        <v>142.55064277918785</v>
      </c>
    </row>
    <row r="63" spans="1:15" ht="12.75">
      <c r="A63" s="163"/>
      <c r="B63" s="122" t="s">
        <v>151</v>
      </c>
      <c r="C63" s="251">
        <v>486.89351977572375</v>
      </c>
      <c r="D63" s="252">
        <v>441.4465809756968</v>
      </c>
      <c r="E63" s="252">
        <v>352.11423468915905</v>
      </c>
      <c r="F63" s="252">
        <v>395.0722288061449</v>
      </c>
      <c r="G63" s="252">
        <v>306.31013873166523</v>
      </c>
      <c r="H63" s="252">
        <v>567.1391797352481</v>
      </c>
      <c r="I63" s="252">
        <v>222.23651774862816</v>
      </c>
      <c r="J63" s="252">
        <v>221.50834169833362</v>
      </c>
      <c r="K63" s="252">
        <v>220.84669836973262</v>
      </c>
      <c r="L63" s="252">
        <v>190.7550279239276</v>
      </c>
      <c r="M63" s="252">
        <v>160.89608968840196</v>
      </c>
      <c r="N63" s="252">
        <v>102.05208463651817</v>
      </c>
      <c r="O63" s="253">
        <v>3667.2706427791795</v>
      </c>
    </row>
    <row r="64" spans="1:15" ht="12.75">
      <c r="A64" s="163"/>
      <c r="B64" s="122" t="s">
        <v>211</v>
      </c>
      <c r="C64" s="251">
        <v>17860.7</v>
      </c>
      <c r="D64" s="252">
        <v>16237</v>
      </c>
      <c r="E64" s="252">
        <v>12989.6</v>
      </c>
      <c r="F64" s="252">
        <v>14613.300000000001</v>
      </c>
      <c r="G64" s="252">
        <v>11365.9</v>
      </c>
      <c r="H64" s="252">
        <v>21108.100000000002</v>
      </c>
      <c r="I64" s="252">
        <v>24771.15</v>
      </c>
      <c r="J64" s="252">
        <v>24771.15</v>
      </c>
      <c r="K64" s="252">
        <v>24771.15</v>
      </c>
      <c r="L64" s="252">
        <v>21468.33</v>
      </c>
      <c r="M64" s="252">
        <v>18165.510000000002</v>
      </c>
      <c r="N64" s="252">
        <v>11559.87</v>
      </c>
      <c r="O64" s="253">
        <v>219681.76</v>
      </c>
    </row>
    <row r="65" spans="1:15" ht="12.75">
      <c r="A65" s="164" t="s">
        <v>220</v>
      </c>
      <c r="B65" s="164" t="s">
        <v>256</v>
      </c>
      <c r="C65" s="201">
        <v>33314.4</v>
      </c>
      <c r="D65" s="202">
        <v>26651.52</v>
      </c>
      <c r="E65" s="202">
        <v>33314.4</v>
      </c>
      <c r="F65" s="202">
        <v>36645.840000000004</v>
      </c>
      <c r="G65" s="202">
        <v>43308.72</v>
      </c>
      <c r="H65" s="202">
        <v>49971.6</v>
      </c>
      <c r="I65" s="202">
        <v>56634.48</v>
      </c>
      <c r="J65" s="202">
        <v>56634.48</v>
      </c>
      <c r="K65" s="202">
        <v>53303.04</v>
      </c>
      <c r="L65" s="202">
        <v>49971.6</v>
      </c>
      <c r="M65" s="202">
        <v>33314.4</v>
      </c>
      <c r="N65" s="202">
        <v>34980.12</v>
      </c>
      <c r="O65" s="203">
        <v>508044.6</v>
      </c>
    </row>
    <row r="66" spans="1:15" ht="12.75">
      <c r="A66" s="163"/>
      <c r="B66" s="122" t="s">
        <v>149</v>
      </c>
      <c r="C66" s="251">
        <v>840.4000000000015</v>
      </c>
      <c r="D66" s="252">
        <v>672.3199999999997</v>
      </c>
      <c r="E66" s="252">
        <v>840.4000000000015</v>
      </c>
      <c r="F66" s="252">
        <v>924.4400000000023</v>
      </c>
      <c r="G66" s="252">
        <v>1092.5199999999968</v>
      </c>
      <c r="H66" s="252">
        <v>1260.5999999999985</v>
      </c>
      <c r="I66" s="252">
        <v>486.5400000000009</v>
      </c>
      <c r="J66" s="252">
        <v>486.5400000000009</v>
      </c>
      <c r="K66" s="252">
        <v>457.91999999999825</v>
      </c>
      <c r="L66" s="252">
        <v>429.29999999999563</v>
      </c>
      <c r="M66" s="252">
        <v>286.1999999999971</v>
      </c>
      <c r="N66" s="252">
        <v>300.51000000000204</v>
      </c>
      <c r="O66" s="253">
        <v>8077.689999999995</v>
      </c>
    </row>
    <row r="67" spans="1:15" ht="12.75">
      <c r="A67" s="163"/>
      <c r="B67" s="122" t="s">
        <v>150</v>
      </c>
      <c r="C67" s="251">
        <v>44.8609450467683</v>
      </c>
      <c r="D67" s="252">
        <v>33.99452956111362</v>
      </c>
      <c r="E67" s="252">
        <v>39.88558672289802</v>
      </c>
      <c r="F67" s="252">
        <v>41.292114859469294</v>
      </c>
      <c r="G67" s="252">
        <v>45.20337243189442</v>
      </c>
      <c r="H67" s="252">
        <v>48.18272246596096</v>
      </c>
      <c r="I67" s="252">
        <v>17.19610689689564</v>
      </c>
      <c r="J67" s="252">
        <v>15.54557451622804</v>
      </c>
      <c r="K67" s="252">
        <v>13.219623188767669</v>
      </c>
      <c r="L67" s="252">
        <v>10.903910593681744</v>
      </c>
      <c r="M67" s="252">
        <v>6.338344888003746</v>
      </c>
      <c r="N67" s="252">
        <v>5.64625390955436</v>
      </c>
      <c r="O67" s="253">
        <v>322.2690850812358</v>
      </c>
    </row>
    <row r="68" spans="1:15" ht="12.75">
      <c r="A68" s="163"/>
      <c r="B68" s="122" t="s">
        <v>151</v>
      </c>
      <c r="C68" s="251">
        <v>885.2609450467697</v>
      </c>
      <c r="D68" s="252">
        <v>706.3145295611133</v>
      </c>
      <c r="E68" s="252">
        <v>880.2855867228994</v>
      </c>
      <c r="F68" s="252">
        <v>965.7321148594716</v>
      </c>
      <c r="G68" s="252">
        <v>1137.7233724318912</v>
      </c>
      <c r="H68" s="252">
        <v>1308.7827224659595</v>
      </c>
      <c r="I68" s="252">
        <v>503.7361068968965</v>
      </c>
      <c r="J68" s="252">
        <v>502.0855745162289</v>
      </c>
      <c r="K68" s="252">
        <v>471.13962318876594</v>
      </c>
      <c r="L68" s="252">
        <v>440.2039105936774</v>
      </c>
      <c r="M68" s="252">
        <v>292.53834488800084</v>
      </c>
      <c r="N68" s="252">
        <v>306.15625390955637</v>
      </c>
      <c r="O68" s="253">
        <v>8399.959085081231</v>
      </c>
    </row>
    <row r="69" spans="1:15" ht="12.75">
      <c r="A69" s="163"/>
      <c r="B69" s="122" t="s">
        <v>211</v>
      </c>
      <c r="C69" s="251">
        <v>32474</v>
      </c>
      <c r="D69" s="252">
        <v>25979.2</v>
      </c>
      <c r="E69" s="252">
        <v>32474</v>
      </c>
      <c r="F69" s="252">
        <v>35721.4</v>
      </c>
      <c r="G69" s="252">
        <v>42216.200000000004</v>
      </c>
      <c r="H69" s="252">
        <v>48711</v>
      </c>
      <c r="I69" s="252">
        <v>56147.94</v>
      </c>
      <c r="J69" s="252">
        <v>56147.94</v>
      </c>
      <c r="K69" s="252">
        <v>52845.12</v>
      </c>
      <c r="L69" s="252">
        <v>49542.3</v>
      </c>
      <c r="M69" s="252">
        <v>33028.200000000004</v>
      </c>
      <c r="N69" s="252">
        <v>34679.61</v>
      </c>
      <c r="O69" s="253">
        <v>499966.91</v>
      </c>
    </row>
    <row r="70" spans="1:15" ht="12.75">
      <c r="A70" s="164" t="s">
        <v>221</v>
      </c>
      <c r="B70" s="164" t="s">
        <v>256</v>
      </c>
      <c r="C70" s="201">
        <v>61631.64</v>
      </c>
      <c r="D70" s="202">
        <v>64963.08</v>
      </c>
      <c r="E70" s="202">
        <v>66628.8</v>
      </c>
      <c r="F70" s="202">
        <v>66628.8</v>
      </c>
      <c r="G70" s="202">
        <v>81620.28</v>
      </c>
      <c r="H70" s="202">
        <v>88283.16</v>
      </c>
      <c r="I70" s="202">
        <v>91614.6</v>
      </c>
      <c r="J70" s="202">
        <v>78288.84</v>
      </c>
      <c r="K70" s="202">
        <v>89948.88</v>
      </c>
      <c r="L70" s="202">
        <v>84951.72</v>
      </c>
      <c r="M70" s="202">
        <v>28317.24</v>
      </c>
      <c r="N70" s="202">
        <v>59965.92</v>
      </c>
      <c r="O70" s="203">
        <v>862842.96</v>
      </c>
    </row>
    <row r="71" spans="1:15" ht="12.75">
      <c r="A71" s="163"/>
      <c r="B71" s="122" t="s">
        <v>149</v>
      </c>
      <c r="C71" s="251">
        <v>1554.739999999998</v>
      </c>
      <c r="D71" s="252">
        <v>1638.7799999999988</v>
      </c>
      <c r="E71" s="252">
        <v>1680.800000000003</v>
      </c>
      <c r="F71" s="252">
        <v>1680.800000000003</v>
      </c>
      <c r="G71" s="252">
        <v>2058.979999999996</v>
      </c>
      <c r="H71" s="252">
        <v>2227.0599999999977</v>
      </c>
      <c r="I71" s="252">
        <v>787.0500000000029</v>
      </c>
      <c r="J71" s="252">
        <v>672.5699999999924</v>
      </c>
      <c r="K71" s="252">
        <v>772.7400000000052</v>
      </c>
      <c r="L71" s="252">
        <v>729.8099999999977</v>
      </c>
      <c r="M71" s="252">
        <v>243.27000000000044</v>
      </c>
      <c r="N71" s="252">
        <v>515.1599999999962</v>
      </c>
      <c r="O71" s="253">
        <v>14561.759999999991</v>
      </c>
    </row>
    <row r="72" spans="1:15" ht="12.75">
      <c r="A72" s="163"/>
      <c r="B72" s="122" t="s">
        <v>150</v>
      </c>
      <c r="C72" s="251">
        <v>82.99274833652112</v>
      </c>
      <c r="D72" s="252">
        <v>82.86166580521444</v>
      </c>
      <c r="E72" s="252">
        <v>79.77117344579604</v>
      </c>
      <c r="F72" s="252">
        <v>75.07657247176229</v>
      </c>
      <c r="G72" s="252">
        <v>85.19097112164727</v>
      </c>
      <c r="H72" s="252">
        <v>85.12280968986435</v>
      </c>
      <c r="I72" s="252">
        <v>27.817231744978294</v>
      </c>
      <c r="J72" s="252">
        <v>21.48947065478554</v>
      </c>
      <c r="K72" s="252">
        <v>22.308114131045677</v>
      </c>
      <c r="L72" s="252">
        <v>18.536648009259096</v>
      </c>
      <c r="M72" s="252">
        <v>5.387593154803248</v>
      </c>
      <c r="N72" s="252">
        <v>9.679292416378765</v>
      </c>
      <c r="O72" s="253">
        <v>596.2342909820562</v>
      </c>
    </row>
    <row r="73" spans="1:15" ht="12.75">
      <c r="A73" s="163"/>
      <c r="B73" s="122" t="s">
        <v>151</v>
      </c>
      <c r="C73" s="251">
        <v>1637.732748336519</v>
      </c>
      <c r="D73" s="252">
        <v>1721.6416658052133</v>
      </c>
      <c r="E73" s="252">
        <v>1760.5711734457989</v>
      </c>
      <c r="F73" s="252">
        <v>1755.8765724717653</v>
      </c>
      <c r="G73" s="252">
        <v>2144.170971121643</v>
      </c>
      <c r="H73" s="252">
        <v>2312.182809689862</v>
      </c>
      <c r="I73" s="252">
        <v>814.8672317449812</v>
      </c>
      <c r="J73" s="252">
        <v>694.059470654778</v>
      </c>
      <c r="K73" s="252">
        <v>795.048114131051</v>
      </c>
      <c r="L73" s="252">
        <v>748.3466480092568</v>
      </c>
      <c r="M73" s="252">
        <v>248.6575931548037</v>
      </c>
      <c r="N73" s="252">
        <v>524.839292416375</v>
      </c>
      <c r="O73" s="253">
        <v>15157.994290982047</v>
      </c>
    </row>
    <row r="74" spans="1:15" ht="12.75">
      <c r="A74" s="163"/>
      <c r="B74" s="122" t="s">
        <v>211</v>
      </c>
      <c r="C74" s="251">
        <v>60076.9</v>
      </c>
      <c r="D74" s="252">
        <v>63324.3</v>
      </c>
      <c r="E74" s="252">
        <v>64948</v>
      </c>
      <c r="F74" s="252">
        <v>64948</v>
      </c>
      <c r="G74" s="252">
        <v>79561.3</v>
      </c>
      <c r="H74" s="252">
        <v>86056.1</v>
      </c>
      <c r="I74" s="252">
        <v>90827.55</v>
      </c>
      <c r="J74" s="252">
        <v>77616.27</v>
      </c>
      <c r="K74" s="252">
        <v>89176.14</v>
      </c>
      <c r="L74" s="252">
        <v>84221.91</v>
      </c>
      <c r="M74" s="252">
        <v>28073.97</v>
      </c>
      <c r="N74" s="252">
        <v>59450.76</v>
      </c>
      <c r="O74" s="253">
        <v>848281.2</v>
      </c>
    </row>
    <row r="75" spans="1:15" ht="12.75">
      <c r="A75" s="164" t="s">
        <v>341</v>
      </c>
      <c r="B75" s="164" t="s">
        <v>256</v>
      </c>
      <c r="C75" s="201">
        <v>289835.28</v>
      </c>
      <c r="D75" s="202">
        <v>176566.32</v>
      </c>
      <c r="E75" s="202">
        <v>139920.48</v>
      </c>
      <c r="F75" s="202">
        <v>119931.84</v>
      </c>
      <c r="G75" s="202">
        <v>163240.56</v>
      </c>
      <c r="H75" s="202">
        <v>209880.72</v>
      </c>
      <c r="I75" s="202">
        <v>228203.64</v>
      </c>
      <c r="J75" s="202">
        <v>229869.36000000002</v>
      </c>
      <c r="K75" s="202">
        <v>181563.48</v>
      </c>
      <c r="L75" s="202">
        <v>206549.28</v>
      </c>
      <c r="M75" s="202">
        <v>141586.2</v>
      </c>
      <c r="N75" s="202">
        <v>236532.24</v>
      </c>
      <c r="O75" s="203">
        <v>2323679.4</v>
      </c>
    </row>
    <row r="76" spans="1:15" ht="12.75">
      <c r="A76" s="163"/>
      <c r="B76" s="122" t="s">
        <v>149</v>
      </c>
      <c r="C76" s="251">
        <v>7311.48000000004</v>
      </c>
      <c r="D76" s="252">
        <v>4454.119999999995</v>
      </c>
      <c r="E76" s="252">
        <v>3529.679999999993</v>
      </c>
      <c r="F76" s="252">
        <v>3025.439999999988</v>
      </c>
      <c r="G76" s="252">
        <v>4117.959999999992</v>
      </c>
      <c r="H76" s="252">
        <v>5294.5199999999895</v>
      </c>
      <c r="I76" s="252">
        <v>1960.4700000000012</v>
      </c>
      <c r="J76" s="252">
        <v>1974.7799999999988</v>
      </c>
      <c r="K76" s="252">
        <v>1559.7900000000081</v>
      </c>
      <c r="L76" s="252">
        <v>1774.4400000000023</v>
      </c>
      <c r="M76" s="252">
        <v>1216.3500000000058</v>
      </c>
      <c r="N76" s="252">
        <v>2032.0199999999895</v>
      </c>
      <c r="O76" s="253">
        <v>38251.05</v>
      </c>
    </row>
    <row r="77" spans="1:15" ht="12.75">
      <c r="A77" s="163"/>
      <c r="B77" s="122" t="s">
        <v>150</v>
      </c>
      <c r="C77" s="251">
        <v>390.2902219068857</v>
      </c>
      <c r="D77" s="252">
        <v>225.21375834237762</v>
      </c>
      <c r="E77" s="252">
        <v>167.51946423617107</v>
      </c>
      <c r="F77" s="252">
        <v>135.13783044917136</v>
      </c>
      <c r="G77" s="252">
        <v>170.38194224329453</v>
      </c>
      <c r="H77" s="252">
        <v>202.36743435703585</v>
      </c>
      <c r="I77" s="252">
        <v>69.29019543749116</v>
      </c>
      <c r="J77" s="252">
        <v>63.09674362469012</v>
      </c>
      <c r="K77" s="252">
        <v>45.02934148674028</v>
      </c>
      <c r="L77" s="252">
        <v>45.06949712055172</v>
      </c>
      <c r="M77" s="252">
        <v>26.937965774016327</v>
      </c>
      <c r="N77" s="252">
        <v>38.17943119793855</v>
      </c>
      <c r="O77" s="253">
        <v>1578.513826176364</v>
      </c>
    </row>
    <row r="78" spans="1:15" ht="12.75">
      <c r="A78" s="163"/>
      <c r="B78" s="122" t="s">
        <v>151</v>
      </c>
      <c r="C78" s="251">
        <v>7701.770221906925</v>
      </c>
      <c r="D78" s="252">
        <v>4679.333758342373</v>
      </c>
      <c r="E78" s="252">
        <v>3697.199464236164</v>
      </c>
      <c r="F78" s="252">
        <v>3160.577830449159</v>
      </c>
      <c r="G78" s="252">
        <v>4288.341942243286</v>
      </c>
      <c r="H78" s="252">
        <v>5496.887434357025</v>
      </c>
      <c r="I78" s="252">
        <v>2029.7601954374923</v>
      </c>
      <c r="J78" s="252">
        <v>2037.876743624689</v>
      </c>
      <c r="K78" s="252">
        <v>1604.8193414867485</v>
      </c>
      <c r="L78" s="252">
        <v>1819.509497120554</v>
      </c>
      <c r="M78" s="252">
        <v>1243.287965774022</v>
      </c>
      <c r="N78" s="252">
        <v>2070.199431197928</v>
      </c>
      <c r="O78" s="253">
        <v>39829.56382617636</v>
      </c>
    </row>
    <row r="79" spans="1:15" ht="12.75">
      <c r="A79" s="163"/>
      <c r="B79" s="122" t="s">
        <v>211</v>
      </c>
      <c r="C79" s="251">
        <v>282523.8</v>
      </c>
      <c r="D79" s="252">
        <v>172112.2</v>
      </c>
      <c r="E79" s="252">
        <v>136390.80000000002</v>
      </c>
      <c r="F79" s="252">
        <v>116906.40000000001</v>
      </c>
      <c r="G79" s="252">
        <v>159122.6</v>
      </c>
      <c r="H79" s="252">
        <v>204586.2</v>
      </c>
      <c r="I79" s="252">
        <v>226243.17</v>
      </c>
      <c r="J79" s="252">
        <v>227894.58000000002</v>
      </c>
      <c r="K79" s="252">
        <v>180003.69</v>
      </c>
      <c r="L79" s="252">
        <v>204774.84</v>
      </c>
      <c r="M79" s="252">
        <v>140369.85</v>
      </c>
      <c r="N79" s="252">
        <v>234500.22</v>
      </c>
      <c r="O79" s="253">
        <v>2285428.35</v>
      </c>
    </row>
    <row r="80" spans="1:15" ht="12.75">
      <c r="A80" s="164" t="s">
        <v>380</v>
      </c>
      <c r="B80" s="164" t="s">
        <v>256</v>
      </c>
      <c r="C80" s="201">
        <v>79954.56</v>
      </c>
      <c r="D80" s="202">
        <v>53303.04</v>
      </c>
      <c r="E80" s="202">
        <v>46640.16</v>
      </c>
      <c r="F80" s="202">
        <v>38311.56</v>
      </c>
      <c r="G80" s="202">
        <v>61631.64</v>
      </c>
      <c r="H80" s="202">
        <v>71625.96</v>
      </c>
      <c r="I80" s="202">
        <v>84951.72</v>
      </c>
      <c r="J80" s="202">
        <v>79954.56</v>
      </c>
      <c r="K80" s="202">
        <v>71625.96</v>
      </c>
      <c r="L80" s="202">
        <v>53303.04</v>
      </c>
      <c r="M80" s="202">
        <v>29982.96</v>
      </c>
      <c r="N80" s="202">
        <v>74957.4</v>
      </c>
      <c r="O80" s="203">
        <v>746242.56</v>
      </c>
    </row>
    <row r="81" spans="1:15" ht="12.75">
      <c r="A81" s="163"/>
      <c r="B81" s="122" t="s">
        <v>149</v>
      </c>
      <c r="C81" s="251">
        <v>2016.9599999999919</v>
      </c>
      <c r="D81" s="252">
        <v>1344.6399999999994</v>
      </c>
      <c r="E81" s="252">
        <v>1176.560000000005</v>
      </c>
      <c r="F81" s="252">
        <v>966.4599999999991</v>
      </c>
      <c r="G81" s="252">
        <v>1554.739999999998</v>
      </c>
      <c r="H81" s="252">
        <v>1806.8600000000006</v>
      </c>
      <c r="I81" s="252">
        <v>729.8099999999977</v>
      </c>
      <c r="J81" s="252">
        <v>686.8799999999901</v>
      </c>
      <c r="K81" s="252">
        <v>615.3300000000017</v>
      </c>
      <c r="L81" s="252">
        <v>457.91999999999825</v>
      </c>
      <c r="M81" s="252">
        <v>257.5799999999981</v>
      </c>
      <c r="N81" s="252">
        <v>643.9499999999971</v>
      </c>
      <c r="O81" s="253">
        <v>12257.689999999977</v>
      </c>
    </row>
    <row r="82" spans="1:15" ht="12.75">
      <c r="A82" s="163"/>
      <c r="B82" s="122" t="s">
        <v>150</v>
      </c>
      <c r="C82" s="251">
        <v>107.66626811224332</v>
      </c>
      <c r="D82" s="252">
        <v>67.98905912222725</v>
      </c>
      <c r="E82" s="252">
        <v>55.83982141205736</v>
      </c>
      <c r="F82" s="252">
        <v>43.169029171263205</v>
      </c>
      <c r="G82" s="252">
        <v>64.32787615308064</v>
      </c>
      <c r="H82" s="252">
        <v>69.0619022012108</v>
      </c>
      <c r="I82" s="252">
        <v>25.794160345343332</v>
      </c>
      <c r="J82" s="252">
        <v>21.946693434674522</v>
      </c>
      <c r="K82" s="252">
        <v>17.763868659906674</v>
      </c>
      <c r="L82" s="252">
        <v>11.630837966593933</v>
      </c>
      <c r="M82" s="252">
        <v>5.704510399203388</v>
      </c>
      <c r="N82" s="252">
        <v>12.099115520473491</v>
      </c>
      <c r="O82" s="253">
        <v>502.99314249827796</v>
      </c>
    </row>
    <row r="83" spans="1:15" ht="12.75">
      <c r="A83" s="163"/>
      <c r="B83" s="122" t="s">
        <v>151</v>
      </c>
      <c r="C83" s="251">
        <v>2124.6262681122353</v>
      </c>
      <c r="D83" s="252">
        <v>1412.6290591222266</v>
      </c>
      <c r="E83" s="252">
        <v>1232.3998214120622</v>
      </c>
      <c r="F83" s="252">
        <v>1009.6290291712623</v>
      </c>
      <c r="G83" s="252">
        <v>1619.0678761530785</v>
      </c>
      <c r="H83" s="252">
        <v>1875.9219022012114</v>
      </c>
      <c r="I83" s="252">
        <v>755.604160345341</v>
      </c>
      <c r="J83" s="252">
        <v>708.8266934346647</v>
      </c>
      <c r="K83" s="252">
        <v>633.0938686599084</v>
      </c>
      <c r="L83" s="252">
        <v>469.5508379665922</v>
      </c>
      <c r="M83" s="252">
        <v>263.2845103992015</v>
      </c>
      <c r="N83" s="252">
        <v>656.0491155204705</v>
      </c>
      <c r="O83" s="253">
        <v>12760.683142498256</v>
      </c>
    </row>
    <row r="84" spans="1:15" ht="12.75">
      <c r="A84" s="163"/>
      <c r="B84" s="122" t="s">
        <v>211</v>
      </c>
      <c r="C84" s="251">
        <v>77937.6</v>
      </c>
      <c r="D84" s="252">
        <v>51958.4</v>
      </c>
      <c r="E84" s="252">
        <v>45463.6</v>
      </c>
      <c r="F84" s="252">
        <v>37345.1</v>
      </c>
      <c r="G84" s="252">
        <v>60076.9</v>
      </c>
      <c r="H84" s="252">
        <v>69819.1</v>
      </c>
      <c r="I84" s="252">
        <v>84221.91</v>
      </c>
      <c r="J84" s="252">
        <v>79267.68000000001</v>
      </c>
      <c r="K84" s="252">
        <v>71010.63</v>
      </c>
      <c r="L84" s="252">
        <v>52845.12</v>
      </c>
      <c r="M84" s="252">
        <v>29725.38</v>
      </c>
      <c r="N84" s="252">
        <v>74313.45</v>
      </c>
      <c r="O84" s="253">
        <v>733984.8700000001</v>
      </c>
    </row>
    <row r="85" spans="1:15" ht="12.75">
      <c r="A85" s="164" t="s">
        <v>257</v>
      </c>
      <c r="B85" s="119"/>
      <c r="C85" s="201">
        <v>13698881.280000001</v>
      </c>
      <c r="D85" s="202">
        <v>10832177.159999996</v>
      </c>
      <c r="E85" s="202">
        <v>11107020.960000003</v>
      </c>
      <c r="F85" s="202">
        <v>10690590.960000003</v>
      </c>
      <c r="G85" s="202">
        <v>13345748.64</v>
      </c>
      <c r="H85" s="202">
        <v>15359604.120000001</v>
      </c>
      <c r="I85" s="202">
        <v>16610559.840000002</v>
      </c>
      <c r="J85" s="202">
        <v>15701076.72</v>
      </c>
      <c r="K85" s="202">
        <v>15302969.640000004</v>
      </c>
      <c r="L85" s="202">
        <v>13598938.079999998</v>
      </c>
      <c r="M85" s="202">
        <v>10042625.879999999</v>
      </c>
      <c r="N85" s="202">
        <v>13000944.6</v>
      </c>
      <c r="O85" s="203">
        <v>159291137.88</v>
      </c>
    </row>
    <row r="86" spans="1:15" ht="12.75">
      <c r="A86" s="164" t="s">
        <v>152</v>
      </c>
      <c r="B86" s="119"/>
      <c r="C86" s="391">
        <v>345572.4799999995</v>
      </c>
      <c r="D86" s="392">
        <v>273256.0600000003</v>
      </c>
      <c r="E86" s="392">
        <v>280189.35999999964</v>
      </c>
      <c r="F86" s="392">
        <v>269684.3599999997</v>
      </c>
      <c r="G86" s="392">
        <v>336664.24000000046</v>
      </c>
      <c r="H86" s="392">
        <v>387466.4199999999</v>
      </c>
      <c r="I86" s="392">
        <v>142699.32000000015</v>
      </c>
      <c r="J86" s="392">
        <v>134886.0599999997</v>
      </c>
      <c r="K86" s="392">
        <v>131465.97000000044</v>
      </c>
      <c r="L86" s="392">
        <v>116826.83999999995</v>
      </c>
      <c r="M86" s="392">
        <v>86274.98999999954</v>
      </c>
      <c r="N86" s="392">
        <v>111689.54999999983</v>
      </c>
      <c r="O86" s="393">
        <v>2616675.649999999</v>
      </c>
    </row>
    <row r="87" spans="1:15" ht="12.75">
      <c r="A87" s="164" t="s">
        <v>153</v>
      </c>
      <c r="B87" s="119"/>
      <c r="C87" s="391">
        <v>18446.820603231063</v>
      </c>
      <c r="D87" s="392">
        <v>13816.651608495136</v>
      </c>
      <c r="E87" s="392">
        <v>13297.854613414158</v>
      </c>
      <c r="F87" s="392">
        <v>12046.036053094225</v>
      </c>
      <c r="G87" s="392">
        <v>13929.593074013064</v>
      </c>
      <c r="H87" s="392">
        <v>14809.76279528755</v>
      </c>
      <c r="I87" s="392">
        <v>5043.516999289506</v>
      </c>
      <c r="J87" s="392">
        <v>4309.781923234262</v>
      </c>
      <c r="K87" s="392">
        <v>3795.2711948502943</v>
      </c>
      <c r="L87" s="392">
        <v>2967.317536227287</v>
      </c>
      <c r="M87" s="392">
        <v>1910.6940664887377</v>
      </c>
      <c r="N87" s="392">
        <v>2098.5243697176857</v>
      </c>
      <c r="O87" s="393">
        <v>106471.82483734301</v>
      </c>
    </row>
    <row r="88" spans="1:15" ht="12.75">
      <c r="A88" s="164" t="s">
        <v>154</v>
      </c>
      <c r="B88" s="119"/>
      <c r="C88" s="391">
        <v>364019.30060323054</v>
      </c>
      <c r="D88" s="392">
        <v>287072.7116084954</v>
      </c>
      <c r="E88" s="392">
        <v>293487.21461341373</v>
      </c>
      <c r="F88" s="392">
        <v>281730.39605309383</v>
      </c>
      <c r="G88" s="392">
        <v>350593.8330740135</v>
      </c>
      <c r="H88" s="392">
        <v>402276.1827952876</v>
      </c>
      <c r="I88" s="392">
        <v>147742.8369992897</v>
      </c>
      <c r="J88" s="392">
        <v>139195.841923234</v>
      </c>
      <c r="K88" s="392">
        <v>135261.24119485074</v>
      </c>
      <c r="L88" s="392">
        <v>119794.15753622723</v>
      </c>
      <c r="M88" s="392">
        <v>88185.68406648826</v>
      </c>
      <c r="N88" s="392">
        <v>113788.07436971752</v>
      </c>
      <c r="O88" s="393">
        <v>2723147.474837342</v>
      </c>
    </row>
    <row r="89" spans="1:15" ht="12.75">
      <c r="A89" s="147" t="s">
        <v>229</v>
      </c>
      <c r="B89" s="165"/>
      <c r="C89" s="271">
        <v>13353308.8</v>
      </c>
      <c r="D89" s="272">
        <v>10558921.1</v>
      </c>
      <c r="E89" s="272">
        <v>10826831.6</v>
      </c>
      <c r="F89" s="272">
        <v>10420906.600000001</v>
      </c>
      <c r="G89" s="272">
        <v>13009084.4</v>
      </c>
      <c r="H89" s="272">
        <v>14972137.7</v>
      </c>
      <c r="I89" s="272">
        <v>16467860.520000003</v>
      </c>
      <c r="J89" s="272">
        <v>15566190.66</v>
      </c>
      <c r="K89" s="272">
        <v>15171503.670000002</v>
      </c>
      <c r="L89" s="272">
        <v>13482111.240000002</v>
      </c>
      <c r="M89" s="272">
        <v>9956350.89</v>
      </c>
      <c r="N89" s="272">
        <v>12889255.049999999</v>
      </c>
      <c r="O89" s="273">
        <v>156674462.23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5"/>
  <sheetViews>
    <sheetView zoomScalePageLayoutView="0" workbookViewId="0" topLeftCell="A1">
      <pane ySplit="1" topLeftCell="A2" activePane="bottomLeft" state="frozen"/>
      <selection pane="topLeft" activeCell="B48" sqref="B48"/>
      <selection pane="bottomLeft" activeCell="I835" sqref="I835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8" max="8" width="9.140625" style="0" bestFit="1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4" t="s">
        <v>204</v>
      </c>
      <c r="H1" s="44" t="s">
        <v>109</v>
      </c>
      <c r="I1" s="44"/>
      <c r="J1" s="44" t="s">
        <v>110</v>
      </c>
      <c r="K1" s="115" t="s">
        <v>133</v>
      </c>
      <c r="L1" s="114" t="s">
        <v>134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 hidden="1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 hidden="1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 hidden="1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 hidden="1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 hidden="1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 hidden="1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 hidden="1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 hidden="1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 hidden="1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 hidden="1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 hidden="1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 hidden="1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 hidden="1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 hidden="1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 hidden="1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 hidden="1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 hidden="1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 hidden="1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</row>
    <row r="716" spans="1:13" ht="15" hidden="1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3" ht="15" hidden="1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125</v>
      </c>
      <c r="L717" s="3" t="str">
        <f t="shared" si="20"/>
        <v> 5.00</v>
      </c>
      <c r="M717" s="3"/>
    </row>
    <row r="718" spans="1:13" ht="15" hidden="1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126</v>
      </c>
      <c r="L718" s="3" t="str">
        <f t="shared" si="20"/>
        <v> 5.00</v>
      </c>
      <c r="M718" s="3"/>
    </row>
    <row r="719" spans="1:13" ht="15" hidden="1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3" ht="15" hidden="1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128</v>
      </c>
      <c r="L720" s="3" t="str">
        <f t="shared" si="20"/>
        <v> 4.00</v>
      </c>
      <c r="M720" s="3"/>
    </row>
    <row r="721" spans="1:13" ht="15" hidden="1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 hidden="1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 hidden="1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 hidden="1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 hidden="1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146</v>
      </c>
      <c r="L725" s="3" t="str">
        <f t="shared" si="20"/>
        <v> 3.25</v>
      </c>
      <c r="P725" s="60"/>
    </row>
    <row r="726" spans="1:16" ht="15" hidden="1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147</v>
      </c>
      <c r="L726" s="3" t="str">
        <f t="shared" si="20"/>
        <v> 3.25</v>
      </c>
      <c r="P726" s="60"/>
    </row>
    <row r="727" spans="1:12" ht="15" hidden="1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184</v>
      </c>
      <c r="L727" s="3" t="str">
        <f>IF(K727=0,L726,RIGHT(K727,5))</f>
        <v> 3.25</v>
      </c>
    </row>
    <row r="728" spans="1:12" ht="15" hidden="1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185</v>
      </c>
      <c r="L728" s="3" t="str">
        <f aca="true" t="shared" si="25" ref="L728:L762">IF(K728=0,L727,RIGHT(K728,5))</f>
        <v> 3.25</v>
      </c>
    </row>
    <row r="729" spans="1:12" ht="15" hidden="1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192</v>
      </c>
      <c r="L729" s="3" t="str">
        <f t="shared" si="25"/>
        <v> 3.25</v>
      </c>
    </row>
    <row r="730" spans="1:12" ht="15" hidden="1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196</v>
      </c>
      <c r="L730" s="3" t="str">
        <f t="shared" si="25"/>
        <v> 3.25</v>
      </c>
    </row>
    <row r="731" spans="1:12" ht="15" hidden="1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197</v>
      </c>
      <c r="L731" s="3" t="str">
        <f t="shared" si="25"/>
        <v> 3.25</v>
      </c>
    </row>
    <row r="732" spans="1:12" ht="15" hidden="1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198</v>
      </c>
      <c r="L732" s="3" t="str">
        <f t="shared" si="25"/>
        <v> 3.25</v>
      </c>
    </row>
    <row r="733" spans="1:12" ht="15" hidden="1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199</v>
      </c>
      <c r="L733" s="3" t="str">
        <f t="shared" si="25"/>
        <v> 3.25</v>
      </c>
    </row>
    <row r="734" spans="1:12" ht="15" hidden="1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200</v>
      </c>
      <c r="L734" s="3" t="str">
        <f t="shared" si="25"/>
        <v> 3.25</v>
      </c>
    </row>
    <row r="735" spans="1:12" ht="15" hidden="1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201</v>
      </c>
      <c r="L735" s="3" t="str">
        <f t="shared" si="25"/>
        <v> 3.25</v>
      </c>
    </row>
    <row r="736" spans="1:12" ht="15" hidden="1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202</v>
      </c>
      <c r="L736" s="3" t="str">
        <f t="shared" si="25"/>
        <v> 3.25</v>
      </c>
    </row>
    <row r="737" spans="1:12" ht="15" hidden="1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203</v>
      </c>
      <c r="L737" s="3" t="str">
        <f t="shared" si="25"/>
        <v> 3.25</v>
      </c>
    </row>
    <row r="738" spans="1:12" ht="15" hidden="1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74" t="s">
        <v>230</v>
      </c>
      <c r="L738" s="3" t="str">
        <f t="shared" si="25"/>
        <v> 3.25</v>
      </c>
    </row>
    <row r="739" spans="1:12" ht="15" hidden="1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74" t="s">
        <v>231</v>
      </c>
      <c r="L739" s="3" t="str">
        <f t="shared" si="25"/>
        <v> 3.25</v>
      </c>
    </row>
    <row r="740" spans="1:12" ht="15" hidden="1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74" t="s">
        <v>232</v>
      </c>
      <c r="L740" s="3" t="str">
        <f t="shared" si="25"/>
        <v> 3.25</v>
      </c>
    </row>
    <row r="741" spans="1:12" ht="15" hidden="1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74" t="s">
        <v>233</v>
      </c>
      <c r="L741" s="3" t="str">
        <f t="shared" si="25"/>
        <v> 3.25</v>
      </c>
    </row>
    <row r="742" spans="1:12" ht="15" hidden="1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74" t="s">
        <v>234</v>
      </c>
      <c r="L742" s="3" t="str">
        <f t="shared" si="25"/>
        <v> 3.25</v>
      </c>
    </row>
    <row r="743" spans="1:12" ht="15" hidden="1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74" t="s">
        <v>274</v>
      </c>
      <c r="L743" s="3" t="str">
        <f t="shared" si="25"/>
        <v> 3.25</v>
      </c>
    </row>
    <row r="744" spans="1:12" ht="15" hidden="1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74" t="s">
        <v>275</v>
      </c>
      <c r="L744" s="3" t="str">
        <f t="shared" si="25"/>
        <v> 3.25</v>
      </c>
    </row>
    <row r="745" spans="1:12" ht="15" hidden="1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74" t="s">
        <v>276</v>
      </c>
      <c r="L745" s="3" t="str">
        <f t="shared" si="25"/>
        <v> 3.25</v>
      </c>
    </row>
    <row r="746" spans="1:12" ht="15" hidden="1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74" t="s">
        <v>277</v>
      </c>
      <c r="L746" s="3" t="str">
        <f t="shared" si="25"/>
        <v> 3.25</v>
      </c>
    </row>
    <row r="747" spans="1:12" ht="15" hidden="1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74" t="s">
        <v>278</v>
      </c>
      <c r="L747" s="3" t="str">
        <f t="shared" si="25"/>
        <v> 3.25</v>
      </c>
    </row>
    <row r="748" spans="1:12" ht="15" hidden="1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74" t="s">
        <v>279</v>
      </c>
      <c r="L748" s="3" t="str">
        <f t="shared" si="25"/>
        <v> 3.25</v>
      </c>
    </row>
    <row r="749" spans="1:12" ht="15" hidden="1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74" t="s">
        <v>280</v>
      </c>
      <c r="L749" s="3" t="str">
        <f t="shared" si="25"/>
        <v> 3.25</v>
      </c>
    </row>
    <row r="750" spans="1:12" ht="15" hidden="1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74" t="s">
        <v>281</v>
      </c>
      <c r="L750" s="3" t="str">
        <f t="shared" si="25"/>
        <v> 3.25</v>
      </c>
    </row>
    <row r="751" spans="1:12" ht="15" hidden="1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74" t="s">
        <v>282</v>
      </c>
      <c r="L751" s="3" t="str">
        <f t="shared" si="25"/>
        <v> 3.25</v>
      </c>
    </row>
    <row r="752" spans="1:12" ht="15" hidden="1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74" t="s">
        <v>283</v>
      </c>
      <c r="L752" s="3" t="str">
        <f t="shared" si="25"/>
        <v> 3.25</v>
      </c>
    </row>
    <row r="753" spans="1:12" ht="15" hidden="1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74" t="s">
        <v>284</v>
      </c>
      <c r="L753" s="3" t="str">
        <f t="shared" si="25"/>
        <v> 3.25</v>
      </c>
    </row>
    <row r="754" spans="1:12" ht="15" hidden="1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74" t="s">
        <v>285</v>
      </c>
      <c r="L754" s="3" t="str">
        <f t="shared" si="25"/>
        <v> 3.25</v>
      </c>
    </row>
    <row r="755" spans="1:12" ht="15" hidden="1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74" t="s">
        <v>286</v>
      </c>
      <c r="L755" s="3" t="str">
        <f t="shared" si="25"/>
        <v> 3.25</v>
      </c>
    </row>
    <row r="756" spans="1:12" ht="15" hidden="1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74" t="s">
        <v>287</v>
      </c>
      <c r="L756" s="3" t="str">
        <f t="shared" si="25"/>
        <v> 3.25</v>
      </c>
    </row>
    <row r="757" spans="1:12" ht="15" hidden="1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74" t="s">
        <v>288</v>
      </c>
      <c r="L757" s="3" t="str">
        <f t="shared" si="25"/>
        <v> 3.25</v>
      </c>
    </row>
    <row r="758" spans="1:12" ht="15" hidden="1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74" t="s">
        <v>289</v>
      </c>
      <c r="L758" s="3" t="str">
        <f t="shared" si="25"/>
        <v> 3.25</v>
      </c>
    </row>
    <row r="759" spans="1:12" ht="15" hidden="1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74" t="s">
        <v>290</v>
      </c>
      <c r="L759" s="3" t="str">
        <f t="shared" si="25"/>
        <v> 3.25</v>
      </c>
    </row>
    <row r="760" spans="1:14" ht="15" hidden="1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74" t="s">
        <v>291</v>
      </c>
      <c r="L760" s="3" t="str">
        <f t="shared" si="25"/>
        <v> 3.25</v>
      </c>
      <c r="N760" s="5" t="s">
        <v>122</v>
      </c>
    </row>
    <row r="761" spans="1:14" ht="15" hidden="1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74" t="s">
        <v>292</v>
      </c>
      <c r="L761" s="3" t="str">
        <f t="shared" si="25"/>
        <v> 3.25</v>
      </c>
      <c r="N761" t="s">
        <v>106</v>
      </c>
    </row>
    <row r="762" spans="1:12" ht="15" hidden="1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74" t="s">
        <v>293</v>
      </c>
      <c r="L762" s="3" t="str">
        <f t="shared" si="25"/>
        <v> 3.25</v>
      </c>
    </row>
    <row r="763" spans="1:14" ht="15" hidden="1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05">AVERAGE(C751:C762)</f>
        <v>0.032499999999999994</v>
      </c>
      <c r="K763" s="274" t="s">
        <v>294</v>
      </c>
      <c r="L763" s="3" t="str">
        <f aca="true" t="shared" si="29" ref="L763:L805">IF(K763=0,L762,RIGHT(K763,5))</f>
        <v> 3.25</v>
      </c>
      <c r="N763" s="5" t="s">
        <v>237</v>
      </c>
    </row>
    <row r="764" spans="1:14" ht="15" hidden="1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74" t="s">
        <v>295</v>
      </c>
      <c r="L764" s="3" t="str">
        <f t="shared" si="29"/>
        <v> 3.25</v>
      </c>
      <c r="N764" s="25" t="s">
        <v>101</v>
      </c>
    </row>
    <row r="765" spans="1:12" ht="15" hidden="1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74" t="s">
        <v>296</v>
      </c>
      <c r="L765" s="3" t="str">
        <f t="shared" si="29"/>
        <v> 3.25</v>
      </c>
    </row>
    <row r="766" spans="1:14" ht="15" hidden="1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74" t="s">
        <v>297</v>
      </c>
      <c r="L766" s="3" t="str">
        <f t="shared" si="29"/>
        <v> 3.25</v>
      </c>
      <c r="N766" s="1" t="s">
        <v>102</v>
      </c>
    </row>
    <row r="767" spans="1:14" ht="15" hidden="1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74" t="s">
        <v>298</v>
      </c>
      <c r="L767" s="3" t="str">
        <f t="shared" si="29"/>
        <v> 3.25</v>
      </c>
      <c r="N767" t="s">
        <v>105</v>
      </c>
    </row>
    <row r="768" spans="1:12" ht="15" hidden="1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74" t="s">
        <v>298</v>
      </c>
      <c r="L768" s="3" t="str">
        <f t="shared" si="29"/>
        <v> 3.25</v>
      </c>
    </row>
    <row r="769" spans="1:18" ht="15" hidden="1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74" t="s">
        <v>299</v>
      </c>
      <c r="L769" s="3" t="str">
        <f t="shared" si="29"/>
        <v> 3.25</v>
      </c>
      <c r="N769" s="369" t="s">
        <v>112</v>
      </c>
      <c r="O769" s="369"/>
      <c r="P769" s="369"/>
      <c r="Q769" s="369"/>
      <c r="R769" s="369"/>
    </row>
    <row r="770" spans="1:12" ht="15" hidden="1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74" t="s">
        <v>300</v>
      </c>
      <c r="L770" s="3" t="str">
        <f t="shared" si="29"/>
        <v> 3.25</v>
      </c>
    </row>
    <row r="771" spans="1:12" ht="15" hidden="1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74" t="s">
        <v>301</v>
      </c>
      <c r="L771" s="3" t="str">
        <f t="shared" si="29"/>
        <v> 3.25</v>
      </c>
    </row>
    <row r="772" spans="1:12" ht="15" hidden="1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74" t="s">
        <v>302</v>
      </c>
      <c r="L772" s="3" t="str">
        <f t="shared" si="29"/>
        <v> 3.25</v>
      </c>
    </row>
    <row r="773" spans="1:14" ht="15" hidden="1">
      <c r="A773" s="39">
        <f aca="true" t="shared" si="30" ref="A773:A836">+B773</f>
        <v>41384</v>
      </c>
      <c r="B773" s="40">
        <v>41384</v>
      </c>
      <c r="C773" s="331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74" t="s">
        <v>303</v>
      </c>
      <c r="L773" s="3" t="str">
        <f t="shared" si="29"/>
        <v> 3.25</v>
      </c>
      <c r="N773" s="275" t="s">
        <v>235</v>
      </c>
    </row>
    <row r="774" spans="1:14" ht="15" hidden="1">
      <c r="A774" s="45">
        <f t="shared" si="30"/>
        <v>41414</v>
      </c>
      <c r="B774" s="46">
        <v>41414</v>
      </c>
      <c r="C774" s="331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74" t="s">
        <v>304</v>
      </c>
      <c r="L774" s="3" t="str">
        <f t="shared" si="29"/>
        <v> 3.25</v>
      </c>
      <c r="N774" t="s">
        <v>236</v>
      </c>
    </row>
    <row r="775" spans="1:12" ht="15" hidden="1">
      <c r="A775" s="39">
        <f t="shared" si="30"/>
        <v>41445</v>
      </c>
      <c r="B775" s="40">
        <v>41445</v>
      </c>
      <c r="C775" s="331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74" t="s">
        <v>305</v>
      </c>
      <c r="L775" s="3" t="str">
        <f t="shared" si="29"/>
        <v> 3.25</v>
      </c>
    </row>
    <row r="776" spans="1:14" ht="15" hidden="1">
      <c r="A776" s="39">
        <f t="shared" si="30"/>
        <v>41475</v>
      </c>
      <c r="B776" s="40">
        <v>41475</v>
      </c>
      <c r="C776" s="331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74" t="s">
        <v>306</v>
      </c>
      <c r="L776" s="3" t="str">
        <f t="shared" si="29"/>
        <v> 3.25</v>
      </c>
      <c r="N776" s="25"/>
    </row>
    <row r="777" spans="1:14" ht="15" hidden="1">
      <c r="A777" s="45">
        <f t="shared" si="30"/>
        <v>41506</v>
      </c>
      <c r="B777" s="46">
        <v>41506</v>
      </c>
      <c r="C777" s="331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74" t="s">
        <v>307</v>
      </c>
      <c r="L777" s="3" t="str">
        <f t="shared" si="29"/>
        <v> 3.25</v>
      </c>
      <c r="N777" s="25"/>
    </row>
    <row r="778" spans="1:12" ht="15" hidden="1">
      <c r="A778" s="39">
        <f t="shared" si="30"/>
        <v>41537</v>
      </c>
      <c r="B778" s="40">
        <v>41537</v>
      </c>
      <c r="C778" s="331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74" t="s">
        <v>308</v>
      </c>
      <c r="L778" s="3" t="str">
        <f t="shared" si="29"/>
        <v> 3.25</v>
      </c>
    </row>
    <row r="779" spans="1:12" ht="15" hidden="1">
      <c r="A779" s="39">
        <f t="shared" si="30"/>
        <v>41567</v>
      </c>
      <c r="B779" s="40">
        <v>41567</v>
      </c>
      <c r="C779" s="331">
        <f t="shared" si="27"/>
        <v>0.0325</v>
      </c>
      <c r="E779" s="3" t="str">
        <f aca="true" t="shared" si="31" ref="E779:E806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74" t="s">
        <v>309</v>
      </c>
      <c r="L779" s="3" t="str">
        <f t="shared" si="29"/>
        <v> 3.25</v>
      </c>
    </row>
    <row r="780" spans="1:12" ht="15" hidden="1">
      <c r="A780" s="45">
        <f t="shared" si="30"/>
        <v>41598</v>
      </c>
      <c r="B780" s="46">
        <v>41598</v>
      </c>
      <c r="C780" s="331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74" t="s">
        <v>310</v>
      </c>
      <c r="L780" s="3" t="str">
        <f t="shared" si="29"/>
        <v> 3.25</v>
      </c>
    </row>
    <row r="781" spans="1:12" ht="15" hidden="1">
      <c r="A781" s="39">
        <f t="shared" si="30"/>
        <v>41628</v>
      </c>
      <c r="B781" s="40">
        <v>41628</v>
      </c>
      <c r="C781" s="331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74" t="s">
        <v>311</v>
      </c>
      <c r="L781" s="3" t="str">
        <f t="shared" si="29"/>
        <v> 3.25</v>
      </c>
    </row>
    <row r="782" spans="1:12" ht="15" hidden="1">
      <c r="A782" s="39">
        <f t="shared" si="30"/>
        <v>41659</v>
      </c>
      <c r="B782" s="40">
        <v>41659</v>
      </c>
      <c r="C782" s="331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74" t="s">
        <v>312</v>
      </c>
      <c r="L782" s="3" t="str">
        <f t="shared" si="29"/>
        <v> 3.25</v>
      </c>
    </row>
    <row r="783" spans="1:12" ht="15" hidden="1">
      <c r="A783" s="45">
        <f t="shared" si="30"/>
        <v>41690</v>
      </c>
      <c r="B783" s="46">
        <v>41690</v>
      </c>
      <c r="C783" s="331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74" t="s">
        <v>313</v>
      </c>
      <c r="L783" s="3" t="str">
        <f t="shared" si="29"/>
        <v> 3.25</v>
      </c>
    </row>
    <row r="784" spans="1:12" ht="15" hidden="1">
      <c r="A784" s="39">
        <f t="shared" si="30"/>
        <v>41718</v>
      </c>
      <c r="B784" s="40">
        <v>41718</v>
      </c>
      <c r="C784" s="331">
        <f aca="true" t="shared" si="32" ref="C784:C806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74" t="s">
        <v>314</v>
      </c>
      <c r="L784" s="3" t="str">
        <f t="shared" si="29"/>
        <v> 3.25</v>
      </c>
    </row>
    <row r="785" spans="1:12" ht="15" hidden="1">
      <c r="A785" s="39">
        <f t="shared" si="30"/>
        <v>41749</v>
      </c>
      <c r="B785" s="40">
        <v>41749</v>
      </c>
      <c r="C785" s="331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74" t="s">
        <v>315</v>
      </c>
      <c r="L785" s="3" t="str">
        <f t="shared" si="29"/>
        <v> 3.25</v>
      </c>
    </row>
    <row r="786" spans="1:12" ht="15" hidden="1">
      <c r="A786" s="45">
        <f t="shared" si="30"/>
        <v>41779</v>
      </c>
      <c r="B786" s="46">
        <v>41779</v>
      </c>
      <c r="C786" s="331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74" t="s">
        <v>316</v>
      </c>
      <c r="L786" s="3" t="str">
        <f t="shared" si="29"/>
        <v> 3.25</v>
      </c>
    </row>
    <row r="787" spans="1:12" ht="15" hidden="1">
      <c r="A787" s="39">
        <f t="shared" si="30"/>
        <v>41810</v>
      </c>
      <c r="B787" s="40">
        <v>41810</v>
      </c>
      <c r="C787" s="331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74" t="s">
        <v>317</v>
      </c>
      <c r="L787" s="3" t="str">
        <f t="shared" si="29"/>
        <v> 3.25</v>
      </c>
    </row>
    <row r="788" spans="1:12" ht="15" hidden="1">
      <c r="A788" s="39">
        <f t="shared" si="30"/>
        <v>41840</v>
      </c>
      <c r="B788" s="40">
        <v>41840</v>
      </c>
      <c r="C788" s="368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74" t="s">
        <v>319</v>
      </c>
      <c r="L788" s="3" t="str">
        <f t="shared" si="29"/>
        <v> 3.25</v>
      </c>
    </row>
    <row r="789" spans="1:12" ht="15" hidden="1">
      <c r="A789" s="45">
        <f t="shared" si="30"/>
        <v>41871</v>
      </c>
      <c r="B789" s="46">
        <v>41871</v>
      </c>
      <c r="C789" s="368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74" t="s">
        <v>320</v>
      </c>
      <c r="L789" s="3" t="str">
        <f t="shared" si="29"/>
        <v> 3.25</v>
      </c>
    </row>
    <row r="790" spans="1:12" ht="15" hidden="1">
      <c r="A790" s="39">
        <f t="shared" si="30"/>
        <v>41902</v>
      </c>
      <c r="B790" s="40">
        <v>41902</v>
      </c>
      <c r="C790" s="368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74" t="s">
        <v>321</v>
      </c>
      <c r="L790" s="3" t="str">
        <f t="shared" si="29"/>
        <v> 3.25</v>
      </c>
    </row>
    <row r="791" spans="1:12" ht="15" hidden="1">
      <c r="A791" s="39">
        <f t="shared" si="30"/>
        <v>41932</v>
      </c>
      <c r="B791" s="40">
        <v>41932</v>
      </c>
      <c r="C791" s="368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74" t="s">
        <v>322</v>
      </c>
      <c r="L791" s="3" t="str">
        <f t="shared" si="29"/>
        <v> 3.25</v>
      </c>
    </row>
    <row r="792" spans="1:12" ht="15" hidden="1">
      <c r="A792" s="45">
        <f t="shared" si="30"/>
        <v>41963</v>
      </c>
      <c r="B792" s="46">
        <v>41963</v>
      </c>
      <c r="C792" s="368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74" t="s">
        <v>323</v>
      </c>
      <c r="L792" s="3" t="str">
        <f t="shared" si="29"/>
        <v> 3.25</v>
      </c>
    </row>
    <row r="793" spans="1:12" ht="15" hidden="1">
      <c r="A793" s="39">
        <f t="shared" si="30"/>
        <v>41993</v>
      </c>
      <c r="B793" s="40">
        <v>41993</v>
      </c>
      <c r="C793" s="368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74" t="s">
        <v>324</v>
      </c>
      <c r="L793" s="3" t="str">
        <f t="shared" si="29"/>
        <v> 3.25</v>
      </c>
    </row>
    <row r="794" spans="1:12" ht="15" hidden="1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74" t="s">
        <v>329</v>
      </c>
      <c r="L794" s="3" t="str">
        <f t="shared" si="29"/>
        <v> 3.25</v>
      </c>
    </row>
    <row r="795" spans="1:12" ht="15" hidden="1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74" t="s">
        <v>330</v>
      </c>
      <c r="L795" s="3" t="str">
        <f t="shared" si="29"/>
        <v> 3.25</v>
      </c>
    </row>
    <row r="796" spans="1:12" ht="15" hidden="1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74" t="s">
        <v>331</v>
      </c>
      <c r="L796" s="3" t="str">
        <f t="shared" si="29"/>
        <v> 3.25</v>
      </c>
    </row>
    <row r="797" spans="1:12" ht="15" hidden="1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74" t="s">
        <v>332</v>
      </c>
      <c r="L797" s="3" t="str">
        <f t="shared" si="29"/>
        <v> 3.25</v>
      </c>
    </row>
    <row r="798" spans="1:12" ht="15" hidden="1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74" t="s">
        <v>333</v>
      </c>
      <c r="L798" s="3" t="str">
        <f t="shared" si="29"/>
        <v> 3.25</v>
      </c>
    </row>
    <row r="799" spans="1:12" ht="15" hidden="1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74" t="s">
        <v>334</v>
      </c>
      <c r="L799" s="3" t="str">
        <f t="shared" si="29"/>
        <v> 3.25</v>
      </c>
    </row>
    <row r="800" spans="1:12" ht="15" hidden="1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74" t="s">
        <v>335</v>
      </c>
      <c r="L800" s="3" t="str">
        <f t="shared" si="29"/>
        <v> 3.25</v>
      </c>
    </row>
    <row r="801" spans="1:12" ht="15" hidden="1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74" t="s">
        <v>336</v>
      </c>
      <c r="L801" s="3" t="str">
        <f t="shared" si="29"/>
        <v> 3.25</v>
      </c>
    </row>
    <row r="802" spans="1:12" ht="15" hidden="1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74" t="s">
        <v>337</v>
      </c>
      <c r="L802" s="3" t="str">
        <f t="shared" si="29"/>
        <v> 3.25</v>
      </c>
    </row>
    <row r="803" spans="1:12" ht="15" hidden="1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74" t="s">
        <v>338</v>
      </c>
      <c r="L803" s="3" t="str">
        <f t="shared" si="29"/>
        <v> 3.25</v>
      </c>
    </row>
    <row r="804" spans="1:12" ht="15" hidden="1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74" t="s">
        <v>339</v>
      </c>
      <c r="L804" s="3" t="str">
        <f t="shared" si="29"/>
        <v> 3.25</v>
      </c>
    </row>
    <row r="805" spans="1:12" ht="15" hidden="1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340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 t="shared" si="32"/>
        <v>0.035</v>
      </c>
      <c r="E806" s="3" t="str">
        <f t="shared" si="31"/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353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82">
        <f aca="true" t="shared" si="33" ref="C807:C844">+L807%</f>
        <v>0.035</v>
      </c>
      <c r="D807" s="48"/>
      <c r="E807" s="66" t="str">
        <f aca="true" t="shared" si="34" ref="E807:E844">IF(MONTH(B807)&lt;4,"1",IF(MONTH(B807)&lt;7,"2",IF(MONTH(B807)&lt;10,"3","4")))&amp;"Q"&amp;YEAR(B807)</f>
        <v>1Q2016</v>
      </c>
      <c r="F807" s="383">
        <f>+F806</f>
        <v>0.0325</v>
      </c>
      <c r="G807" s="48"/>
      <c r="H807" s="370">
        <v>42401</v>
      </c>
      <c r="I807" s="48"/>
      <c r="J807" s="371">
        <f aca="true" t="shared" si="35" ref="J807:J826">AVERAGE(C795:C806)</f>
        <v>0.03280833333333333</v>
      </c>
      <c r="K807" s="372" t="s">
        <v>342</v>
      </c>
      <c r="L807" s="66" t="str">
        <f aca="true" t="shared" si="36" ref="L807:L841">IF(K807=0,L806,RIGHT(K807,5))</f>
        <v> 3.50</v>
      </c>
    </row>
    <row r="808" spans="1:12" ht="15">
      <c r="A808" s="39">
        <f t="shared" si="30"/>
        <v>42449</v>
      </c>
      <c r="B808" s="40">
        <v>42449</v>
      </c>
      <c r="C808" s="382">
        <f t="shared" si="33"/>
        <v>0.035</v>
      </c>
      <c r="D808" s="48"/>
      <c r="E808" s="66" t="str">
        <f t="shared" si="34"/>
        <v>1Q2016</v>
      </c>
      <c r="F808" s="383">
        <f>+F807</f>
        <v>0.0325</v>
      </c>
      <c r="G808" s="48"/>
      <c r="H808" s="370">
        <v>42430</v>
      </c>
      <c r="I808" s="48"/>
      <c r="J808" s="371">
        <f t="shared" si="35"/>
        <v>0.033016666666666666</v>
      </c>
      <c r="K808" s="372" t="s">
        <v>343</v>
      </c>
      <c r="L808" s="66" t="str">
        <f t="shared" si="36"/>
        <v> 3.50</v>
      </c>
    </row>
    <row r="809" spans="1:12" ht="15">
      <c r="A809" s="39">
        <f t="shared" si="30"/>
        <v>42480</v>
      </c>
      <c r="B809" s="40">
        <v>42480</v>
      </c>
      <c r="C809" s="382">
        <f t="shared" si="33"/>
        <v>0.035</v>
      </c>
      <c r="D809" s="48"/>
      <c r="E809" s="66" t="str">
        <f t="shared" si="34"/>
        <v>2Q2016</v>
      </c>
      <c r="F809" s="383">
        <f>IF(COUNTIF(C805:C807,"&gt;0")&lt;3,"N/A",AVERAGE(C805:C807))</f>
        <v>0.03456666666666667</v>
      </c>
      <c r="G809" s="48"/>
      <c r="H809" s="370">
        <v>42461</v>
      </c>
      <c r="I809" s="48"/>
      <c r="J809" s="371">
        <f t="shared" si="35"/>
        <v>0.033225000000000005</v>
      </c>
      <c r="K809" s="372" t="s">
        <v>344</v>
      </c>
      <c r="L809" s="66" t="str">
        <f t="shared" si="36"/>
        <v> 3.50</v>
      </c>
    </row>
    <row r="810" spans="1:12" ht="15">
      <c r="A810" s="45">
        <f t="shared" si="30"/>
        <v>42510</v>
      </c>
      <c r="B810" s="46">
        <v>42510</v>
      </c>
      <c r="C810" s="382">
        <f t="shared" si="33"/>
        <v>0.035</v>
      </c>
      <c r="D810" s="48"/>
      <c r="E810" s="66" t="str">
        <f t="shared" si="34"/>
        <v>2Q2016</v>
      </c>
      <c r="F810" s="383">
        <f>+F809</f>
        <v>0.03456666666666667</v>
      </c>
      <c r="G810" s="48"/>
      <c r="H810" s="370">
        <v>42491</v>
      </c>
      <c r="I810" s="48"/>
      <c r="J810" s="371">
        <f t="shared" si="35"/>
        <v>0.03343333333333334</v>
      </c>
      <c r="K810" s="372" t="s">
        <v>345</v>
      </c>
      <c r="L810" s="66" t="str">
        <f t="shared" si="36"/>
        <v> 3.50</v>
      </c>
    </row>
    <row r="811" spans="1:12" ht="15">
      <c r="A811" s="39">
        <f t="shared" si="30"/>
        <v>42541</v>
      </c>
      <c r="B811" s="40">
        <v>42541</v>
      </c>
      <c r="C811" s="382">
        <f t="shared" si="33"/>
        <v>0.035</v>
      </c>
      <c r="D811" s="48"/>
      <c r="E811" s="66" t="str">
        <f t="shared" si="34"/>
        <v>2Q2016</v>
      </c>
      <c r="F811" s="383">
        <f>+F810</f>
        <v>0.03456666666666667</v>
      </c>
      <c r="G811" s="48"/>
      <c r="H811" s="370">
        <v>42522</v>
      </c>
      <c r="I811" s="48"/>
      <c r="J811" s="371">
        <f t="shared" si="35"/>
        <v>0.03364166666666668</v>
      </c>
      <c r="K811" s="372" t="s">
        <v>346</v>
      </c>
      <c r="L811" s="66" t="str">
        <f t="shared" si="36"/>
        <v> 3.50</v>
      </c>
    </row>
    <row r="812" spans="1:12" ht="15">
      <c r="A812" s="39">
        <f t="shared" si="30"/>
        <v>42571</v>
      </c>
      <c r="B812" s="40">
        <v>42571</v>
      </c>
      <c r="C812" s="382">
        <f t="shared" si="33"/>
        <v>0.035</v>
      </c>
      <c r="D812" s="48"/>
      <c r="E812" s="66" t="str">
        <f t="shared" si="34"/>
        <v>3Q2016</v>
      </c>
      <c r="F812" s="383">
        <f>IF(COUNTIF(C808:C810,"&gt;0")&lt;3,"N/A",AVERAGE(C808:C810))</f>
        <v>0.035</v>
      </c>
      <c r="G812" s="48"/>
      <c r="H812" s="370">
        <v>42552</v>
      </c>
      <c r="I812" s="48"/>
      <c r="J812" s="371">
        <f t="shared" si="35"/>
        <v>0.03385000000000001</v>
      </c>
      <c r="K812" s="372" t="s">
        <v>347</v>
      </c>
      <c r="L812" s="66" t="str">
        <f t="shared" si="36"/>
        <v> 3.50</v>
      </c>
    </row>
    <row r="813" spans="1:12" ht="15">
      <c r="A813" s="45">
        <f t="shared" si="30"/>
        <v>42602</v>
      </c>
      <c r="B813" s="46">
        <v>42602</v>
      </c>
      <c r="C813" s="382">
        <f t="shared" si="33"/>
        <v>0.035</v>
      </c>
      <c r="D813" s="48"/>
      <c r="E813" s="66" t="str">
        <f t="shared" si="34"/>
        <v>3Q2016</v>
      </c>
      <c r="F813" s="383">
        <f>+F812</f>
        <v>0.035</v>
      </c>
      <c r="G813" s="48"/>
      <c r="H813" s="370">
        <v>42583</v>
      </c>
      <c r="I813" s="48"/>
      <c r="J813" s="371">
        <f t="shared" si="35"/>
        <v>0.03405833333333335</v>
      </c>
      <c r="K813" s="372" t="s">
        <v>348</v>
      </c>
      <c r="L813" s="66" t="str">
        <f t="shared" si="36"/>
        <v> 3.50</v>
      </c>
    </row>
    <row r="814" spans="1:12" ht="15">
      <c r="A814" s="39">
        <f t="shared" si="30"/>
        <v>42633</v>
      </c>
      <c r="B814" s="40">
        <v>42633</v>
      </c>
      <c r="C814" s="382">
        <f t="shared" si="33"/>
        <v>0.035</v>
      </c>
      <c r="D814" s="48"/>
      <c r="E814" s="66" t="str">
        <f t="shared" si="34"/>
        <v>3Q2016</v>
      </c>
      <c r="F814" s="383">
        <f>+F813</f>
        <v>0.035</v>
      </c>
      <c r="G814" s="48"/>
      <c r="H814" s="370">
        <v>42614</v>
      </c>
      <c r="I814" s="48"/>
      <c r="J814" s="371">
        <f t="shared" si="35"/>
        <v>0.034266666666666674</v>
      </c>
      <c r="K814" s="372" t="s">
        <v>349</v>
      </c>
      <c r="L814" s="66" t="str">
        <f t="shared" si="36"/>
        <v> 3.50</v>
      </c>
    </row>
    <row r="815" spans="1:12" ht="15">
      <c r="A815" s="39">
        <f t="shared" si="30"/>
        <v>42663</v>
      </c>
      <c r="B815" s="40">
        <v>42663</v>
      </c>
      <c r="C815" s="382">
        <f t="shared" si="33"/>
        <v>0.035</v>
      </c>
      <c r="D815" s="48"/>
      <c r="E815" s="66" t="str">
        <f t="shared" si="34"/>
        <v>4Q2016</v>
      </c>
      <c r="F815" s="383">
        <f>IF(COUNTIF(C811:C813,"&gt;0")&lt;3,"N/A",AVERAGE(C811:C813))</f>
        <v>0.035</v>
      </c>
      <c r="G815" s="48"/>
      <c r="H815" s="370">
        <v>42644</v>
      </c>
      <c r="I815" s="48"/>
      <c r="J815" s="371">
        <f t="shared" si="35"/>
        <v>0.03447500000000001</v>
      </c>
      <c r="K815" s="372" t="s">
        <v>350</v>
      </c>
      <c r="L815" s="66" t="str">
        <f t="shared" si="36"/>
        <v> 3.50</v>
      </c>
    </row>
    <row r="816" spans="1:12" ht="15">
      <c r="A816" s="45">
        <f t="shared" si="30"/>
        <v>42694</v>
      </c>
      <c r="B816" s="46">
        <v>42694</v>
      </c>
      <c r="C816" s="382">
        <f t="shared" si="33"/>
        <v>0.035</v>
      </c>
      <c r="D816" s="48"/>
      <c r="E816" s="66" t="str">
        <f t="shared" si="34"/>
        <v>4Q2016</v>
      </c>
      <c r="F816" s="383">
        <f>+F815</f>
        <v>0.035</v>
      </c>
      <c r="G816" s="48"/>
      <c r="H816" s="370">
        <v>42675</v>
      </c>
      <c r="I816" s="48"/>
      <c r="J816" s="371">
        <f t="shared" si="35"/>
        <v>0.034683333333333344</v>
      </c>
      <c r="K816" s="372" t="s">
        <v>351</v>
      </c>
      <c r="L816" s="66" t="str">
        <f t="shared" si="36"/>
        <v> 3.50</v>
      </c>
    </row>
    <row r="817" spans="1:12" ht="15">
      <c r="A817" s="39">
        <f t="shared" si="30"/>
        <v>42724</v>
      </c>
      <c r="B817" s="40">
        <v>42724</v>
      </c>
      <c r="C817" s="382">
        <f t="shared" si="33"/>
        <v>0.035</v>
      </c>
      <c r="D817" s="48"/>
      <c r="E817" s="66" t="str">
        <f t="shared" si="34"/>
        <v>4Q2016</v>
      </c>
      <c r="F817" s="383">
        <f>+F816</f>
        <v>0.035</v>
      </c>
      <c r="G817" s="48"/>
      <c r="H817" s="370">
        <v>42705</v>
      </c>
      <c r="I817" s="48"/>
      <c r="J817" s="371">
        <f t="shared" si="35"/>
        <v>0.03489166666666668</v>
      </c>
      <c r="K817" s="372" t="s">
        <v>352</v>
      </c>
      <c r="L817" s="66" t="str">
        <f t="shared" si="36"/>
        <v> 3.50</v>
      </c>
    </row>
    <row r="818" spans="1:12" ht="15">
      <c r="A818" s="39">
        <f t="shared" si="30"/>
        <v>42755</v>
      </c>
      <c r="B818" s="40">
        <v>42755</v>
      </c>
      <c r="C818" s="65">
        <f t="shared" si="33"/>
        <v>0.035</v>
      </c>
      <c r="E818" s="3" t="str">
        <f t="shared" si="34"/>
        <v>1Q2017</v>
      </c>
      <c r="F818" s="49">
        <f>IF(COUNTIF(C814:C816,"&gt;0")&lt;3,"N/A",AVERAGE(C814:C816))</f>
        <v>0.035</v>
      </c>
      <c r="H818" s="6">
        <v>42736</v>
      </c>
      <c r="J818" s="371">
        <f t="shared" si="35"/>
        <v>0.03500000000000001</v>
      </c>
      <c r="K818" s="384" t="s">
        <v>355</v>
      </c>
      <c r="L818" s="66" t="str">
        <f t="shared" si="36"/>
        <v> 3.50</v>
      </c>
    </row>
    <row r="819" spans="1:12" ht="15">
      <c r="A819" s="45">
        <f t="shared" si="30"/>
        <v>42786</v>
      </c>
      <c r="B819" s="46">
        <v>42786</v>
      </c>
      <c r="C819" s="65">
        <f t="shared" si="33"/>
        <v>0.035</v>
      </c>
      <c r="E819" s="3" t="str">
        <f t="shared" si="34"/>
        <v>1Q2017</v>
      </c>
      <c r="F819" s="49">
        <f>+F818</f>
        <v>0.035</v>
      </c>
      <c r="H819" s="370">
        <v>42767</v>
      </c>
      <c r="J819" s="371">
        <f t="shared" si="35"/>
        <v>0.03500000000000001</v>
      </c>
      <c r="K819" s="372" t="s">
        <v>356</v>
      </c>
      <c r="L819" s="66" t="str">
        <f t="shared" si="36"/>
        <v> 3.50</v>
      </c>
    </row>
    <row r="820" spans="1:12" ht="15">
      <c r="A820" s="39">
        <f t="shared" si="30"/>
        <v>42814</v>
      </c>
      <c r="B820" s="40">
        <v>42814</v>
      </c>
      <c r="C820" s="65">
        <f t="shared" si="33"/>
        <v>0.035</v>
      </c>
      <c r="E820" s="3" t="str">
        <f t="shared" si="34"/>
        <v>1Q2017</v>
      </c>
      <c r="F820" s="49">
        <f>+F819</f>
        <v>0.035</v>
      </c>
      <c r="H820" s="370">
        <v>42795</v>
      </c>
      <c r="J820" s="371">
        <f t="shared" si="35"/>
        <v>0.03500000000000001</v>
      </c>
      <c r="K820" s="372" t="s">
        <v>357</v>
      </c>
      <c r="L820" s="66" t="str">
        <f t="shared" si="36"/>
        <v> 3.50</v>
      </c>
    </row>
    <row r="821" spans="1:12" ht="15">
      <c r="A821" s="39">
        <f t="shared" si="30"/>
        <v>42845</v>
      </c>
      <c r="B821" s="40">
        <v>42845</v>
      </c>
      <c r="C821" s="65">
        <f t="shared" si="33"/>
        <v>0.0371</v>
      </c>
      <c r="E821" s="3" t="str">
        <f t="shared" si="34"/>
        <v>2Q2017</v>
      </c>
      <c r="F821" s="49">
        <f>IF(COUNTIF(C817:C819,"&gt;0")&lt;3,"N/A",AVERAGE(C817:C819))</f>
        <v>0.035</v>
      </c>
      <c r="H821" s="370">
        <v>42826</v>
      </c>
      <c r="J821" s="371">
        <f t="shared" si="35"/>
        <v>0.03500000000000001</v>
      </c>
      <c r="K821" s="372" t="s">
        <v>354</v>
      </c>
      <c r="L821" s="66" t="str">
        <f t="shared" si="36"/>
        <v> 3.71</v>
      </c>
    </row>
    <row r="822" spans="1:12" ht="15">
      <c r="A822" s="45">
        <f t="shared" si="30"/>
        <v>42875</v>
      </c>
      <c r="B822" s="46">
        <v>42875</v>
      </c>
      <c r="C822" s="65">
        <f t="shared" si="33"/>
        <v>0.0371</v>
      </c>
      <c r="E822" s="3" t="str">
        <f t="shared" si="34"/>
        <v>2Q2017</v>
      </c>
      <c r="F822" s="49">
        <f>+F821</f>
        <v>0.035</v>
      </c>
      <c r="H822" s="370">
        <v>42856</v>
      </c>
      <c r="I822" s="48"/>
      <c r="J822" s="371">
        <f t="shared" si="35"/>
        <v>0.03517500000000001</v>
      </c>
      <c r="K822" s="372" t="s">
        <v>358</v>
      </c>
      <c r="L822" s="66" t="str">
        <f t="shared" si="36"/>
        <v> 3.71</v>
      </c>
    </row>
    <row r="823" spans="1:12" ht="15">
      <c r="A823" s="39">
        <f t="shared" si="30"/>
        <v>42906</v>
      </c>
      <c r="B823" s="40">
        <v>42906</v>
      </c>
      <c r="C823" s="65">
        <f t="shared" si="33"/>
        <v>0.0371</v>
      </c>
      <c r="E823" s="3" t="str">
        <f t="shared" si="34"/>
        <v>2Q2017</v>
      </c>
      <c r="F823" s="49">
        <f>+F822</f>
        <v>0.035</v>
      </c>
      <c r="H823" s="370">
        <v>42887</v>
      </c>
      <c r="I823" s="48"/>
      <c r="J823" s="371">
        <f t="shared" si="35"/>
        <v>0.03535000000000001</v>
      </c>
      <c r="K823" s="372" t="s">
        <v>359</v>
      </c>
      <c r="L823" s="66" t="str">
        <f t="shared" si="36"/>
        <v> 3.71</v>
      </c>
    </row>
    <row r="824" spans="1:12" ht="15">
      <c r="A824" s="39">
        <f t="shared" si="30"/>
        <v>42936</v>
      </c>
      <c r="B824" s="40">
        <v>42936</v>
      </c>
      <c r="C824" s="65">
        <f t="shared" si="33"/>
        <v>0.039599999999999996</v>
      </c>
      <c r="E824" s="3" t="str">
        <f t="shared" si="34"/>
        <v>3Q2017</v>
      </c>
      <c r="F824" s="49">
        <f>IF(COUNTIF(C820:C822,"&gt;0")&lt;3,"N/A",AVERAGE(C820:C822))</f>
        <v>0.036399999999999995</v>
      </c>
      <c r="H824" s="370">
        <v>42917</v>
      </c>
      <c r="I824" s="48"/>
      <c r="J824" s="371">
        <f t="shared" si="35"/>
        <v>0.03552500000000001</v>
      </c>
      <c r="K824" s="372" t="s">
        <v>360</v>
      </c>
      <c r="L824" s="66" t="str">
        <f t="shared" si="36"/>
        <v> 3.96</v>
      </c>
    </row>
    <row r="825" spans="1:12" ht="15">
      <c r="A825" s="45">
        <f t="shared" si="30"/>
        <v>42967</v>
      </c>
      <c r="B825" s="46">
        <v>42967</v>
      </c>
      <c r="C825" s="65">
        <f t="shared" si="33"/>
        <v>0.039599999999999996</v>
      </c>
      <c r="E825" s="3" t="str">
        <f t="shared" si="34"/>
        <v>3Q2017</v>
      </c>
      <c r="F825" s="49">
        <f>+F824</f>
        <v>0.036399999999999995</v>
      </c>
      <c r="H825" s="370">
        <v>42948</v>
      </c>
      <c r="I825" s="48"/>
      <c r="J825" s="371">
        <f t="shared" si="35"/>
        <v>0.03590833333333334</v>
      </c>
      <c r="K825" s="372" t="s">
        <v>361</v>
      </c>
      <c r="L825" s="66" t="str">
        <f t="shared" si="36"/>
        <v> 3.96</v>
      </c>
    </row>
    <row r="826" spans="1:12" ht="15">
      <c r="A826" s="39">
        <f t="shared" si="30"/>
        <v>42998</v>
      </c>
      <c r="B826" s="40">
        <v>42998</v>
      </c>
      <c r="C826" s="65">
        <f t="shared" si="33"/>
        <v>0.039599999999999996</v>
      </c>
      <c r="E826" s="3" t="str">
        <f t="shared" si="34"/>
        <v>3Q2017</v>
      </c>
      <c r="F826" s="49">
        <f>+F825</f>
        <v>0.036399999999999995</v>
      </c>
      <c r="H826" s="370">
        <v>42979</v>
      </c>
      <c r="I826" s="48"/>
      <c r="J826" s="371">
        <f t="shared" si="35"/>
        <v>0.036291666666666667</v>
      </c>
      <c r="K826" s="372" t="s">
        <v>362</v>
      </c>
      <c r="L826" s="66" t="str">
        <f t="shared" si="36"/>
        <v> 3.96</v>
      </c>
    </row>
    <row r="827" spans="1:12" ht="15">
      <c r="A827" s="39">
        <f t="shared" si="30"/>
        <v>43028</v>
      </c>
      <c r="B827" s="40">
        <v>43028</v>
      </c>
      <c r="C827" s="65">
        <f t="shared" si="33"/>
        <v>0.0421</v>
      </c>
      <c r="E827" s="3" t="str">
        <f t="shared" si="34"/>
        <v>4Q2017</v>
      </c>
      <c r="F827" s="49">
        <f>IF(COUNTIF(C823:C825,"&gt;0")&lt;3,"N/A",AVERAGE(C823:C825))</f>
        <v>0.038766666666666665</v>
      </c>
      <c r="H827" s="370">
        <v>43009</v>
      </c>
      <c r="I827" s="48"/>
      <c r="J827" s="371">
        <f>AVERAGE(C815:C826)</f>
        <v>0.03667499999999999</v>
      </c>
      <c r="K827" s="372" t="s">
        <v>363</v>
      </c>
      <c r="L827" s="66" t="str">
        <f t="shared" si="36"/>
        <v> 4.21</v>
      </c>
    </row>
    <row r="828" spans="1:12" ht="15">
      <c r="A828" s="45">
        <f t="shared" si="30"/>
        <v>43059</v>
      </c>
      <c r="B828" s="46">
        <v>43059</v>
      </c>
      <c r="C828" s="65">
        <f t="shared" si="33"/>
        <v>0.0421</v>
      </c>
      <c r="E828" s="3" t="str">
        <f t="shared" si="34"/>
        <v>4Q2017</v>
      </c>
      <c r="F828" s="49">
        <f>+F827</f>
        <v>0.038766666666666665</v>
      </c>
      <c r="H828" s="370">
        <v>43040</v>
      </c>
      <c r="I828" s="48"/>
      <c r="J828" s="371">
        <f>AVERAGE(C816:C827)</f>
        <v>0.03726666666666666</v>
      </c>
      <c r="K828" s="372" t="s">
        <v>364</v>
      </c>
      <c r="L828" s="66" t="str">
        <f t="shared" si="36"/>
        <v> 4.21</v>
      </c>
    </row>
    <row r="829" spans="1:12" ht="15">
      <c r="A829" s="39">
        <f t="shared" si="30"/>
        <v>43089</v>
      </c>
      <c r="B829" s="40">
        <v>43089</v>
      </c>
      <c r="C829" s="65">
        <f t="shared" si="33"/>
        <v>0.0421</v>
      </c>
      <c r="E829" s="3" t="str">
        <f t="shared" si="34"/>
        <v>4Q2017</v>
      </c>
      <c r="F829" s="49">
        <f>+F828</f>
        <v>0.038766666666666665</v>
      </c>
      <c r="H829" s="370">
        <v>43070</v>
      </c>
      <c r="I829" s="48"/>
      <c r="J829" s="371">
        <f>AVERAGE(C817:C828)</f>
        <v>0.037858333333333334</v>
      </c>
      <c r="K829" s="372" t="s">
        <v>365</v>
      </c>
      <c r="L829" s="66" t="str">
        <f t="shared" si="36"/>
        <v> 4.21</v>
      </c>
    </row>
    <row r="830" spans="1:12" ht="15">
      <c r="A830" s="39">
        <f t="shared" si="30"/>
        <v>43120</v>
      </c>
      <c r="B830" s="40">
        <v>43120</v>
      </c>
      <c r="C830" s="65">
        <f t="shared" si="33"/>
        <v>0.0425</v>
      </c>
      <c r="E830" s="3" t="str">
        <f t="shared" si="34"/>
        <v>1Q2018</v>
      </c>
      <c r="F830" s="49">
        <f>IF(COUNTIF(C826:C828,"&gt;0")&lt;3,"N/A",AVERAGE(C826:C828))</f>
        <v>0.04126666666666667</v>
      </c>
      <c r="H830" s="6">
        <v>43101</v>
      </c>
      <c r="J830" s="351">
        <f aca="true" t="shared" si="37" ref="J830:J838">AVERAGE(C818:C829)</f>
        <v>0.038450000000000005</v>
      </c>
      <c r="K830" s="60" t="s">
        <v>366</v>
      </c>
      <c r="L830" s="349" t="str">
        <f t="shared" si="36"/>
        <v> 4.25</v>
      </c>
    </row>
    <row r="831" spans="1:12" ht="15">
      <c r="A831" s="45">
        <f t="shared" si="30"/>
        <v>43151</v>
      </c>
      <c r="B831" s="46">
        <v>43151</v>
      </c>
      <c r="C831" s="65">
        <f t="shared" si="33"/>
        <v>0.0425</v>
      </c>
      <c r="E831" s="3" t="str">
        <f t="shared" si="34"/>
        <v>1Q2018</v>
      </c>
      <c r="F831" s="49">
        <f>+F830</f>
        <v>0.04126666666666667</v>
      </c>
      <c r="H831" s="370">
        <v>43132</v>
      </c>
      <c r="J831" s="351">
        <f t="shared" si="37"/>
        <v>0.039075</v>
      </c>
      <c r="K831" s="372" t="s">
        <v>367</v>
      </c>
      <c r="L831" s="349" t="str">
        <f t="shared" si="36"/>
        <v> 4.25</v>
      </c>
    </row>
    <row r="832" spans="1:12" ht="15">
      <c r="A832" s="39">
        <f t="shared" si="30"/>
        <v>43179</v>
      </c>
      <c r="B832" s="40">
        <v>43179</v>
      </c>
      <c r="C832" s="65">
        <f t="shared" si="33"/>
        <v>0.0425</v>
      </c>
      <c r="E832" s="3" t="str">
        <f t="shared" si="34"/>
        <v>1Q2018</v>
      </c>
      <c r="F832" s="49">
        <f>+F831</f>
        <v>0.04126666666666667</v>
      </c>
      <c r="H832" s="370">
        <v>43160</v>
      </c>
      <c r="J832" s="351">
        <f t="shared" si="37"/>
        <v>0.039700000000000006</v>
      </c>
      <c r="K832" s="372" t="s">
        <v>368</v>
      </c>
      <c r="L832" s="349" t="str">
        <f t="shared" si="36"/>
        <v> 4.25</v>
      </c>
    </row>
    <row r="833" spans="1:12" ht="15">
      <c r="A833" s="39">
        <f t="shared" si="30"/>
        <v>43210</v>
      </c>
      <c r="B833" s="40">
        <v>43210</v>
      </c>
      <c r="C833" s="65">
        <f t="shared" si="33"/>
        <v>0.0447</v>
      </c>
      <c r="E833" s="3" t="str">
        <f t="shared" si="34"/>
        <v>2Q2018</v>
      </c>
      <c r="F833" s="49">
        <f>IF(COUNTIF(C829:C831,"&gt;0")&lt;3,"N/A",AVERAGE(C829:C831))</f>
        <v>0.04236666666666667</v>
      </c>
      <c r="H833" s="370">
        <v>43191</v>
      </c>
      <c r="J833" s="351">
        <f t="shared" si="37"/>
        <v>0.040325</v>
      </c>
      <c r="K833" s="372" t="s">
        <v>369</v>
      </c>
      <c r="L833" s="349" t="str">
        <f t="shared" si="36"/>
        <v> 4.47</v>
      </c>
    </row>
    <row r="834" spans="1:12" ht="15">
      <c r="A834" s="45">
        <f t="shared" si="30"/>
        <v>43240</v>
      </c>
      <c r="B834" s="46">
        <v>43240</v>
      </c>
      <c r="C834" s="65">
        <f t="shared" si="33"/>
        <v>0.0447</v>
      </c>
      <c r="E834" s="3" t="str">
        <f t="shared" si="34"/>
        <v>2Q2018</v>
      </c>
      <c r="F834" s="49">
        <f>+F833</f>
        <v>0.04236666666666667</v>
      </c>
      <c r="H834" s="350">
        <v>43221</v>
      </c>
      <c r="J834" s="351">
        <f t="shared" si="37"/>
        <v>0.04095833333333333</v>
      </c>
      <c r="K834" s="352" t="s">
        <v>370</v>
      </c>
      <c r="L834" s="349" t="str">
        <f t="shared" si="36"/>
        <v> 4.47</v>
      </c>
    </row>
    <row r="835" spans="1:12" ht="15">
      <c r="A835" s="39">
        <f t="shared" si="30"/>
        <v>43271</v>
      </c>
      <c r="B835" s="40">
        <v>43271</v>
      </c>
      <c r="C835" s="65">
        <f t="shared" si="33"/>
        <v>0.0447</v>
      </c>
      <c r="E835" s="3" t="str">
        <f t="shared" si="34"/>
        <v>2Q2018</v>
      </c>
      <c r="F835" s="49">
        <f>+F834</f>
        <v>0.04236666666666667</v>
      </c>
      <c r="H835" s="350">
        <v>43252</v>
      </c>
      <c r="J835" s="351">
        <f t="shared" si="37"/>
        <v>0.041591666666666666</v>
      </c>
      <c r="K835" s="352" t="s">
        <v>371</v>
      </c>
      <c r="L835" s="349" t="str">
        <f t="shared" si="36"/>
        <v> 4.47</v>
      </c>
    </row>
    <row r="836" spans="1:12" ht="15">
      <c r="A836" s="39">
        <f t="shared" si="30"/>
        <v>43301</v>
      </c>
      <c r="B836" s="40">
        <v>43301</v>
      </c>
      <c r="C836" s="65">
        <f t="shared" si="33"/>
        <v>0.0447</v>
      </c>
      <c r="E836" s="3" t="str">
        <f t="shared" si="34"/>
        <v>3Q2018</v>
      </c>
      <c r="F836" s="49">
        <f>IF(COUNTIF(C832:C834,"&gt;0")&lt;3,"N/A",AVERAGE(C832:C834))</f>
        <v>0.04396666666666666</v>
      </c>
      <c r="H836" s="350">
        <v>43282</v>
      </c>
      <c r="J836" s="351">
        <f t="shared" si="37"/>
        <v>0.04222499999999999</v>
      </c>
      <c r="K836" s="352" t="s">
        <v>372</v>
      </c>
      <c r="L836" s="349" t="str">
        <f t="shared" si="36"/>
        <v> 4.47</v>
      </c>
    </row>
    <row r="837" spans="1:12" ht="15">
      <c r="A837" s="45">
        <f aca="true" t="shared" si="38" ref="A837:A844">+B837</f>
        <v>43332</v>
      </c>
      <c r="B837" s="46">
        <v>43332</v>
      </c>
      <c r="C837" s="65">
        <f t="shared" si="33"/>
        <v>0.0447</v>
      </c>
      <c r="E837" s="3" t="str">
        <f t="shared" si="34"/>
        <v>3Q2018</v>
      </c>
      <c r="F837" s="49">
        <f>+F836</f>
        <v>0.04396666666666666</v>
      </c>
      <c r="H837" s="350">
        <v>43313</v>
      </c>
      <c r="J837" s="351">
        <f t="shared" si="37"/>
        <v>0.04265</v>
      </c>
      <c r="K837" s="352" t="s">
        <v>373</v>
      </c>
      <c r="L837" s="349" t="str">
        <f t="shared" si="36"/>
        <v> 4.47</v>
      </c>
    </row>
    <row r="838" spans="1:12" ht="15">
      <c r="A838" s="39">
        <f t="shared" si="38"/>
        <v>43363</v>
      </c>
      <c r="B838" s="40">
        <v>43363</v>
      </c>
      <c r="C838" s="65">
        <f t="shared" si="33"/>
        <v>0.0447</v>
      </c>
      <c r="E838" s="3" t="str">
        <f t="shared" si="34"/>
        <v>3Q2018</v>
      </c>
      <c r="F838" s="49">
        <f>+F837</f>
        <v>0.04396666666666666</v>
      </c>
      <c r="H838" s="350">
        <v>43344</v>
      </c>
      <c r="J838" s="351">
        <f t="shared" si="37"/>
        <v>0.043075</v>
      </c>
      <c r="K838" s="352" t="s">
        <v>374</v>
      </c>
      <c r="L838" s="349" t="str">
        <f t="shared" si="36"/>
        <v> 4.47</v>
      </c>
    </row>
    <row r="839" spans="1:12" ht="15">
      <c r="A839" s="39">
        <f t="shared" si="38"/>
        <v>43393</v>
      </c>
      <c r="B839" s="40">
        <v>43393</v>
      </c>
      <c r="C839" s="65">
        <f t="shared" si="33"/>
        <v>0.0447</v>
      </c>
      <c r="E839" s="3" t="str">
        <f t="shared" si="34"/>
        <v>4Q2018</v>
      </c>
      <c r="F839" s="49">
        <f>IF(COUNTIF(C835:C837,"&gt;0")&lt;3,"N/A",AVERAGE(C835:C837))</f>
        <v>0.0447</v>
      </c>
      <c r="H839" s="350">
        <v>43374</v>
      </c>
      <c r="J839" s="351">
        <f>AVERAGE(C827:C838)</f>
        <v>0.04350000000000001</v>
      </c>
      <c r="K839" s="352" t="s">
        <v>375</v>
      </c>
      <c r="L839" s="349" t="str">
        <f t="shared" si="36"/>
        <v> 4.47</v>
      </c>
    </row>
    <row r="840" spans="1:12" ht="15">
      <c r="A840" s="45">
        <f t="shared" si="38"/>
        <v>43424</v>
      </c>
      <c r="B840" s="46">
        <v>43424</v>
      </c>
      <c r="C840" s="65">
        <f t="shared" si="33"/>
        <v>0.0447</v>
      </c>
      <c r="E840" s="3" t="str">
        <f t="shared" si="34"/>
        <v>4Q2018</v>
      </c>
      <c r="F840" s="49">
        <f>+F839</f>
        <v>0.0447</v>
      </c>
      <c r="H840" s="350">
        <v>43405</v>
      </c>
      <c r="J840" s="351">
        <f>AVERAGE(C828:C839)</f>
        <v>0.043716666666666675</v>
      </c>
      <c r="K840" s="352" t="s">
        <v>376</v>
      </c>
      <c r="L840" s="349" t="str">
        <f t="shared" si="36"/>
        <v> 4.47</v>
      </c>
    </row>
    <row r="841" spans="1:12" ht="15">
      <c r="A841" s="39">
        <f t="shared" si="38"/>
        <v>43454</v>
      </c>
      <c r="B841" s="40">
        <v>43454</v>
      </c>
      <c r="C841" s="65">
        <f t="shared" si="33"/>
        <v>0.0447</v>
      </c>
      <c r="E841" s="3" t="str">
        <f t="shared" si="34"/>
        <v>4Q2018</v>
      </c>
      <c r="F841" s="49">
        <f>+F840</f>
        <v>0.0447</v>
      </c>
      <c r="H841" s="350">
        <v>43435</v>
      </c>
      <c r="J841" s="351">
        <f>AVERAGE(C829:C840)</f>
        <v>0.043933333333333345</v>
      </c>
      <c r="K841" s="352" t="s">
        <v>377</v>
      </c>
      <c r="L841" s="349" t="str">
        <f t="shared" si="36"/>
        <v> 4.47</v>
      </c>
    </row>
    <row r="842" spans="1:6" ht="12.75">
      <c r="A842" s="39">
        <f t="shared" si="38"/>
        <v>43485</v>
      </c>
      <c r="B842" s="40">
        <v>43485</v>
      </c>
      <c r="C842" s="65">
        <f t="shared" si="33"/>
        <v>0</v>
      </c>
      <c r="E842" s="3" t="str">
        <f t="shared" si="34"/>
        <v>1Q2019</v>
      </c>
      <c r="F842" s="49">
        <f>IF(COUNTIF(C838:C840,"&gt;0")&lt;3,"N/A",AVERAGE(C838:C840))</f>
        <v>0.0447</v>
      </c>
    </row>
    <row r="843" spans="1:6" ht="12.75">
      <c r="A843" s="45">
        <f t="shared" si="38"/>
        <v>43516</v>
      </c>
      <c r="B843" s="46">
        <v>43516</v>
      </c>
      <c r="C843" s="65">
        <f t="shared" si="33"/>
        <v>0</v>
      </c>
      <c r="E843" s="3" t="str">
        <f t="shared" si="34"/>
        <v>1Q2019</v>
      </c>
      <c r="F843" s="49">
        <f>+F842</f>
        <v>0.0447</v>
      </c>
    </row>
    <row r="844" spans="1:6" ht="12.75">
      <c r="A844" s="39">
        <f t="shared" si="38"/>
        <v>43544</v>
      </c>
      <c r="B844" s="40">
        <v>43544</v>
      </c>
      <c r="C844" s="65">
        <f t="shared" si="33"/>
        <v>0</v>
      </c>
      <c r="E844" s="3" t="str">
        <f t="shared" si="34"/>
        <v>1Q2019</v>
      </c>
      <c r="F844" s="49">
        <f>+F843</f>
        <v>0.0447</v>
      </c>
    </row>
    <row r="845" spans="1:6" ht="12.75">
      <c r="A845" s="39">
        <f aca="true" t="shared" si="39" ref="A845:A865">+B845</f>
        <v>43575</v>
      </c>
      <c r="B845" s="40">
        <v>43575</v>
      </c>
      <c r="C845" s="65">
        <f>+L845%</f>
        <v>0</v>
      </c>
      <c r="E845" s="3" t="str">
        <f aca="true" t="shared" si="40" ref="E845:E865">IF(MONTH(B845)&lt;4,"1",IF(MONTH(B845)&lt;7,"2",IF(MONTH(B845)&lt;10,"3","4")))&amp;"Q"&amp;YEAR(B845)</f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9"/>
        <v>43605</v>
      </c>
      <c r="B846" s="46">
        <v>43605</v>
      </c>
      <c r="C846" s="65">
        <f>+L846%</f>
        <v>0</v>
      </c>
      <c r="E846" s="3" t="str">
        <f t="shared" si="40"/>
        <v>2Q2019</v>
      </c>
      <c r="F846" s="49" t="str">
        <f>+F845</f>
        <v>N/A</v>
      </c>
    </row>
    <row r="847" spans="1:6" ht="12.75">
      <c r="A847" s="39">
        <f t="shared" si="39"/>
        <v>43636</v>
      </c>
      <c r="B847" s="40">
        <v>43636</v>
      </c>
      <c r="C847" s="65">
        <f>+L847%</f>
        <v>0</v>
      </c>
      <c r="E847" s="3" t="str">
        <f t="shared" si="40"/>
        <v>2Q2019</v>
      </c>
      <c r="F847" s="49" t="str">
        <f>+F846</f>
        <v>N/A</v>
      </c>
    </row>
    <row r="848" spans="1:6" ht="12.75">
      <c r="A848" s="39">
        <f t="shared" si="39"/>
        <v>43666</v>
      </c>
      <c r="B848" s="40">
        <v>43666</v>
      </c>
      <c r="C848" s="65">
        <f aca="true" t="shared" si="41" ref="C848:C865">+L848%</f>
        <v>0</v>
      </c>
      <c r="E848" s="3" t="str">
        <f t="shared" si="40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9"/>
        <v>43697</v>
      </c>
      <c r="B849" s="46">
        <v>43697</v>
      </c>
      <c r="C849" s="65">
        <f t="shared" si="41"/>
        <v>0</v>
      </c>
      <c r="E849" s="3" t="str">
        <f t="shared" si="40"/>
        <v>3Q2019</v>
      </c>
      <c r="F849" s="49" t="str">
        <f>+F848</f>
        <v>N/A</v>
      </c>
    </row>
    <row r="850" spans="1:6" ht="12.75">
      <c r="A850" s="39">
        <f t="shared" si="39"/>
        <v>43728</v>
      </c>
      <c r="B850" s="40">
        <v>43728</v>
      </c>
      <c r="C850" s="65">
        <f t="shared" si="41"/>
        <v>0</v>
      </c>
      <c r="E850" s="3" t="str">
        <f t="shared" si="40"/>
        <v>3Q2019</v>
      </c>
      <c r="F850" s="49" t="str">
        <f>+F849</f>
        <v>N/A</v>
      </c>
    </row>
    <row r="851" spans="1:6" ht="12.75">
      <c r="A851" s="39">
        <f t="shared" si="39"/>
        <v>43758</v>
      </c>
      <c r="B851" s="40">
        <v>43758</v>
      </c>
      <c r="C851" s="65">
        <f t="shared" si="41"/>
        <v>0</v>
      </c>
      <c r="E851" s="3" t="str">
        <f t="shared" si="40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9"/>
        <v>43789</v>
      </c>
      <c r="B852" s="46">
        <v>43789</v>
      </c>
      <c r="C852" s="65">
        <f t="shared" si="41"/>
        <v>0</v>
      </c>
      <c r="E852" s="3" t="str">
        <f t="shared" si="40"/>
        <v>4Q2019</v>
      </c>
      <c r="F852" s="49" t="str">
        <f>+F851</f>
        <v>N/A</v>
      </c>
    </row>
    <row r="853" spans="1:6" ht="12.75">
      <c r="A853" s="39">
        <f t="shared" si="39"/>
        <v>43819</v>
      </c>
      <c r="B853" s="40">
        <v>43819</v>
      </c>
      <c r="C853" s="65">
        <f t="shared" si="41"/>
        <v>0</v>
      </c>
      <c r="E853" s="3" t="str">
        <f t="shared" si="40"/>
        <v>4Q2019</v>
      </c>
      <c r="F853" s="49" t="str">
        <f>+F852</f>
        <v>N/A</v>
      </c>
    </row>
    <row r="854" spans="1:6" ht="12.75">
      <c r="A854" s="39">
        <f t="shared" si="39"/>
        <v>43850</v>
      </c>
      <c r="B854" s="40">
        <v>43850</v>
      </c>
      <c r="C854" s="65">
        <f t="shared" si="41"/>
        <v>0</v>
      </c>
      <c r="E854" s="3" t="str">
        <f t="shared" si="40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9"/>
        <v>43881</v>
      </c>
      <c r="B855" s="46">
        <v>43881</v>
      </c>
      <c r="C855" s="65">
        <f t="shared" si="41"/>
        <v>0</v>
      </c>
      <c r="E855" s="3" t="str">
        <f t="shared" si="40"/>
        <v>1Q2020</v>
      </c>
      <c r="F855" s="49" t="str">
        <f>+F854</f>
        <v>N/A</v>
      </c>
    </row>
    <row r="856" spans="1:6" ht="12.75">
      <c r="A856" s="39">
        <f t="shared" si="39"/>
        <v>43910</v>
      </c>
      <c r="B856" s="40">
        <v>43910</v>
      </c>
      <c r="C856" s="65">
        <f t="shared" si="41"/>
        <v>0</v>
      </c>
      <c r="E856" s="3" t="str">
        <f t="shared" si="40"/>
        <v>1Q2020</v>
      </c>
      <c r="F856" s="49" t="str">
        <f>+F855</f>
        <v>N/A</v>
      </c>
    </row>
    <row r="857" spans="1:6" ht="12.75">
      <c r="A857" s="39">
        <f t="shared" si="39"/>
        <v>43941</v>
      </c>
      <c r="B857" s="40">
        <v>43941</v>
      </c>
      <c r="C857" s="65">
        <f t="shared" si="41"/>
        <v>0</v>
      </c>
      <c r="E857" s="3" t="str">
        <f t="shared" si="40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9"/>
        <v>43971</v>
      </c>
      <c r="B858" s="46">
        <v>43971</v>
      </c>
      <c r="C858" s="65">
        <f t="shared" si="41"/>
        <v>0</v>
      </c>
      <c r="E858" s="3" t="str">
        <f t="shared" si="40"/>
        <v>2Q2020</v>
      </c>
      <c r="F858" s="49" t="str">
        <f>+F857</f>
        <v>N/A</v>
      </c>
    </row>
    <row r="859" spans="1:6" ht="12.75">
      <c r="A859" s="39">
        <f t="shared" si="39"/>
        <v>44002</v>
      </c>
      <c r="B859" s="40">
        <v>44002</v>
      </c>
      <c r="C859" s="65">
        <f t="shared" si="41"/>
        <v>0</v>
      </c>
      <c r="E859" s="3" t="str">
        <f t="shared" si="40"/>
        <v>2Q2020</v>
      </c>
      <c r="F859" s="49" t="str">
        <f>+F858</f>
        <v>N/A</v>
      </c>
    </row>
    <row r="860" spans="1:6" ht="12.75">
      <c r="A860" s="39">
        <f t="shared" si="39"/>
        <v>44032</v>
      </c>
      <c r="B860" s="40">
        <v>44032</v>
      </c>
      <c r="C860" s="65">
        <f t="shared" si="41"/>
        <v>0</v>
      </c>
      <c r="E860" s="3" t="str">
        <f t="shared" si="40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9"/>
        <v>44063</v>
      </c>
      <c r="B861" s="46">
        <v>44063</v>
      </c>
      <c r="C861" s="65">
        <f t="shared" si="41"/>
        <v>0</v>
      </c>
      <c r="E861" s="3" t="str">
        <f t="shared" si="40"/>
        <v>3Q2020</v>
      </c>
      <c r="F861" s="49" t="str">
        <f>+F860</f>
        <v>N/A</v>
      </c>
    </row>
    <row r="862" spans="1:6" ht="12.75">
      <c r="A862" s="39">
        <f t="shared" si="39"/>
        <v>44094</v>
      </c>
      <c r="B862" s="40">
        <v>44094</v>
      </c>
      <c r="C862" s="65">
        <f t="shared" si="41"/>
        <v>0</v>
      </c>
      <c r="E862" s="3" t="str">
        <f t="shared" si="40"/>
        <v>3Q2020</v>
      </c>
      <c r="F862" s="49" t="str">
        <f>+F861</f>
        <v>N/A</v>
      </c>
    </row>
    <row r="863" spans="1:6" ht="12.75">
      <c r="A863" s="39">
        <f t="shared" si="39"/>
        <v>44124</v>
      </c>
      <c r="B863" s="40">
        <v>44124</v>
      </c>
      <c r="C863" s="65">
        <f t="shared" si="41"/>
        <v>0</v>
      </c>
      <c r="E863" s="3" t="str">
        <f t="shared" si="40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9"/>
        <v>44155</v>
      </c>
      <c r="B864" s="46">
        <v>44155</v>
      </c>
      <c r="C864" s="65">
        <f t="shared" si="41"/>
        <v>0</v>
      </c>
      <c r="E864" s="3" t="str">
        <f t="shared" si="40"/>
        <v>4Q2020</v>
      </c>
      <c r="F864" s="49" t="str">
        <f>+F863</f>
        <v>N/A</v>
      </c>
    </row>
    <row r="865" spans="1:6" ht="12.75">
      <c r="A865" s="39">
        <f t="shared" si="39"/>
        <v>44185</v>
      </c>
      <c r="B865" s="40">
        <v>44185</v>
      </c>
      <c r="C865" s="65">
        <f t="shared" si="41"/>
        <v>0</v>
      </c>
      <c r="E865" s="3" t="str">
        <f t="shared" si="40"/>
        <v>4Q2020</v>
      </c>
      <c r="F865" s="49" t="str">
        <f>+F864</f>
        <v>N/A</v>
      </c>
    </row>
    <row r="866" spans="1:6" ht="12.75">
      <c r="A866" s="39"/>
      <c r="C866" s="65"/>
      <c r="F866" s="49"/>
    </row>
    <row r="867" spans="1:6" ht="12.75">
      <c r="A867" s="45"/>
      <c r="B867" s="46"/>
      <c r="C867" s="65"/>
      <c r="F867" s="49"/>
    </row>
    <row r="868" spans="1:6" ht="12.75">
      <c r="A868" s="39"/>
      <c r="C868" s="65"/>
      <c r="F868" s="49"/>
    </row>
    <row r="869" spans="1:6" ht="12.75">
      <c r="A869" s="39"/>
      <c r="C869" s="65"/>
      <c r="F869" s="49"/>
    </row>
    <row r="870" spans="1:6" ht="12.75">
      <c r="A870" s="45"/>
      <c r="B870" s="46"/>
      <c r="C870" s="65"/>
      <c r="F870" s="49"/>
    </row>
    <row r="871" spans="1:6" ht="12.75">
      <c r="A871" s="39"/>
      <c r="C871" s="65"/>
      <c r="F871" s="49"/>
    </row>
    <row r="872" spans="1:6" ht="12.75">
      <c r="A872" s="39"/>
      <c r="C872" s="65"/>
      <c r="F872" s="49"/>
    </row>
    <row r="873" spans="1:6" ht="12.75">
      <c r="A873" s="45"/>
      <c r="B873" s="46"/>
      <c r="C873" s="65"/>
      <c r="F873" s="49"/>
    </row>
    <row r="874" spans="1:6" ht="12.75">
      <c r="A874" s="39"/>
      <c r="C874" s="65"/>
      <c r="F874" s="49"/>
    </row>
    <row r="875" spans="1:6" ht="12.75">
      <c r="A875" s="39"/>
      <c r="C875" s="65"/>
      <c r="F875" s="49"/>
    </row>
    <row r="876" spans="1:6" ht="12.75">
      <c r="A876" s="45"/>
      <c r="B876" s="46"/>
      <c r="C876" s="65"/>
      <c r="F876" s="49"/>
    </row>
    <row r="877" spans="1:6" ht="12.75">
      <c r="A877" s="39"/>
      <c r="C877" s="65"/>
      <c r="F877" s="49"/>
    </row>
    <row r="878" spans="1:6" ht="12.75">
      <c r="A878" s="39"/>
      <c r="C878" s="65"/>
      <c r="F878" s="49"/>
    </row>
    <row r="879" spans="1:6" ht="12.75">
      <c r="A879" s="45"/>
      <c r="B879" s="46"/>
      <c r="C879" s="65"/>
      <c r="F879" s="49"/>
    </row>
    <row r="880" spans="1:6" ht="12.75">
      <c r="A880" s="39"/>
      <c r="C880" s="65"/>
      <c r="F880" s="49"/>
    </row>
    <row r="881" spans="1:6" ht="12.75">
      <c r="A881" s="39"/>
      <c r="C881" s="65"/>
      <c r="F881" s="49"/>
    </row>
    <row r="882" spans="1:6" ht="12.75">
      <c r="A882" s="45"/>
      <c r="B882" s="46"/>
      <c r="C882" s="65"/>
      <c r="F882" s="49"/>
    </row>
    <row r="883" spans="1:6" ht="12.75">
      <c r="A883" s="39"/>
      <c r="C883" s="65"/>
      <c r="F883" s="49"/>
    </row>
    <row r="884" spans="1:6" ht="12.75">
      <c r="A884" s="39"/>
      <c r="C884" s="65"/>
      <c r="F884" s="49"/>
    </row>
    <row r="885" spans="1:6" ht="12.75">
      <c r="A885" s="45"/>
      <c r="B885" s="46"/>
      <c r="C885" s="65"/>
      <c r="F885" s="49"/>
    </row>
    <row r="886" spans="1:6" ht="12.75">
      <c r="A886" s="39"/>
      <c r="C886" s="65"/>
      <c r="F886" s="49"/>
    </row>
    <row r="887" spans="1:6" ht="12.75">
      <c r="A887" s="39"/>
      <c r="C887" s="65"/>
      <c r="F887" s="49"/>
    </row>
    <row r="888" spans="1:6" ht="12.75">
      <c r="A888" s="45"/>
      <c r="B888" s="46"/>
      <c r="C888" s="65"/>
      <c r="F888" s="49"/>
    </row>
    <row r="889" spans="1:6" ht="12.75">
      <c r="A889" s="39"/>
      <c r="C889" s="65"/>
      <c r="F889" s="49"/>
    </row>
    <row r="890" spans="1:6" ht="12.75">
      <c r="A890" s="39"/>
      <c r="C890" s="65"/>
      <c r="F890" s="49"/>
    </row>
    <row r="891" spans="1:6" ht="12.75">
      <c r="A891" s="45"/>
      <c r="B891" s="46"/>
      <c r="C891" s="65"/>
      <c r="F891" s="49"/>
    </row>
    <row r="892" spans="1:6" ht="12.75">
      <c r="A892" s="39"/>
      <c r="C892" s="65"/>
      <c r="F892" s="49"/>
    </row>
    <row r="893" spans="1:6" ht="12.75">
      <c r="A893" s="39"/>
      <c r="C893" s="65"/>
      <c r="F893" s="49"/>
    </row>
    <row r="894" spans="1:6" ht="12.75">
      <c r="A894" s="45"/>
      <c r="B894" s="46"/>
      <c r="C894" s="65"/>
      <c r="F894" s="49"/>
    </row>
    <row r="895" spans="1:6" ht="12.75">
      <c r="A895" s="39"/>
      <c r="C895" s="65"/>
      <c r="F895" s="49"/>
    </row>
    <row r="896" spans="1:6" ht="12.75">
      <c r="A896" s="39"/>
      <c r="C896" s="65"/>
      <c r="F896" s="49"/>
    </row>
    <row r="897" spans="1:6" ht="12.75">
      <c r="A897" s="45"/>
      <c r="B897" s="46"/>
      <c r="C897" s="65"/>
      <c r="F897" s="49"/>
    </row>
    <row r="898" spans="1:6" ht="12.75">
      <c r="A898" s="39"/>
      <c r="C898" s="65"/>
      <c r="F898" s="49"/>
    </row>
    <row r="899" spans="1:6" ht="12.75">
      <c r="A899" s="39"/>
      <c r="C899" s="65"/>
      <c r="F899" s="49"/>
    </row>
    <row r="900" spans="1:6" ht="12.75">
      <c r="A900" s="45"/>
      <c r="B900" s="46"/>
      <c r="C900" s="65"/>
      <c r="F900" s="49"/>
    </row>
    <row r="901" spans="1:6" ht="12.75">
      <c r="A901" s="39"/>
      <c r="C901" s="65"/>
      <c r="F901" s="49"/>
    </row>
    <row r="902" spans="1:6" ht="12.75">
      <c r="A902" s="39"/>
      <c r="C902" s="65"/>
      <c r="F902" s="49"/>
    </row>
    <row r="903" spans="1:6" ht="12.75">
      <c r="A903" s="45"/>
      <c r="B903" s="46"/>
      <c r="C903" s="65"/>
      <c r="F903" s="49"/>
    </row>
    <row r="904" spans="1:6" ht="12.75">
      <c r="A904" s="39"/>
      <c r="C904" s="65"/>
      <c r="F904" s="49"/>
    </row>
    <row r="905" spans="1:6" ht="12.75">
      <c r="A905" s="39"/>
      <c r="C905" s="65"/>
      <c r="F905" s="49"/>
    </row>
    <row r="906" spans="1:6" ht="12.75">
      <c r="A906" s="45"/>
      <c r="B906" s="46"/>
      <c r="C906" s="65"/>
      <c r="F906" s="49"/>
    </row>
    <row r="907" spans="1:6" ht="12.75">
      <c r="A907" s="39"/>
      <c r="C907" s="65"/>
      <c r="F907" s="49"/>
    </row>
    <row r="908" spans="1:6" ht="12.75">
      <c r="A908" s="39"/>
      <c r="C908" s="65"/>
      <c r="F908" s="49"/>
    </row>
    <row r="909" spans="1:6" ht="12.75">
      <c r="A909" s="45"/>
      <c r="B909" s="46"/>
      <c r="C909" s="65"/>
      <c r="F909" s="49"/>
    </row>
    <row r="910" spans="1:6" ht="12.75">
      <c r="A910" s="39"/>
      <c r="C910" s="65"/>
      <c r="F910" s="49"/>
    </row>
    <row r="911" spans="1:6" ht="12.75">
      <c r="A911" s="39"/>
      <c r="C911" s="65"/>
      <c r="F911" s="49"/>
    </row>
    <row r="912" spans="1:6" ht="12.75">
      <c r="A912" s="45"/>
      <c r="B912" s="46"/>
      <c r="C912" s="65"/>
      <c r="F912" s="49"/>
    </row>
    <row r="913" spans="1:6" ht="12.75">
      <c r="A913" s="39"/>
      <c r="C913" s="65"/>
      <c r="F913" s="49"/>
    </row>
    <row r="914" spans="1:6" ht="12.75">
      <c r="A914" s="39"/>
      <c r="C914" s="65"/>
      <c r="F914" s="49"/>
    </row>
    <row r="915" spans="1:6" ht="12.75">
      <c r="A915" s="45"/>
      <c r="B915" s="46"/>
      <c r="C915" s="65"/>
      <c r="F915" s="49"/>
    </row>
    <row r="916" spans="1:6" ht="12.75">
      <c r="A916" s="39"/>
      <c r="C916" s="65"/>
      <c r="F916" s="49"/>
    </row>
    <row r="917" spans="1:6" ht="12.75">
      <c r="A917" s="39"/>
      <c r="C917" s="65"/>
      <c r="F917" s="49"/>
    </row>
    <row r="918" spans="1:6" ht="12.75">
      <c r="A918" s="45"/>
      <c r="B918" s="46"/>
      <c r="C918" s="65"/>
      <c r="F918" s="49"/>
    </row>
    <row r="919" spans="1:6" ht="12.75">
      <c r="A919" s="39"/>
      <c r="C919" s="65"/>
      <c r="F919" s="49"/>
    </row>
    <row r="920" spans="1:6" ht="12.75">
      <c r="A920" s="39"/>
      <c r="C920" s="65"/>
      <c r="F920" s="49"/>
    </row>
    <row r="921" spans="1:6" ht="12.75">
      <c r="A921" s="45"/>
      <c r="B921" s="46"/>
      <c r="C921" s="65"/>
      <c r="F921" s="49"/>
    </row>
    <row r="922" spans="1:6" ht="12.75">
      <c r="A922" s="39"/>
      <c r="C922" s="65"/>
      <c r="F922" s="49"/>
    </row>
    <row r="923" spans="1:6" ht="12.75">
      <c r="A923" s="39"/>
      <c r="C923" s="65"/>
      <c r="F923" s="49"/>
    </row>
    <row r="924" spans="1:6" ht="12.75">
      <c r="A924" s="45"/>
      <c r="B924" s="46"/>
      <c r="C924" s="65"/>
      <c r="F924" s="49"/>
    </row>
    <row r="925" spans="1:6" ht="12.75">
      <c r="A925" s="39"/>
      <c r="C925" s="65"/>
      <c r="F925" s="49"/>
    </row>
    <row r="926" spans="1:6" ht="12.75">
      <c r="A926" s="39"/>
      <c r="C926" s="65"/>
      <c r="F926" s="49"/>
    </row>
    <row r="927" spans="1:6" ht="12.75">
      <c r="A927" s="45"/>
      <c r="B927" s="46"/>
      <c r="C927" s="65"/>
      <c r="F927" s="49"/>
    </row>
    <row r="928" spans="1:6" ht="12.75">
      <c r="A928" s="39"/>
      <c r="C928" s="65"/>
      <c r="F928" s="49"/>
    </row>
    <row r="929" spans="1:6" ht="12.75">
      <c r="A929" s="39"/>
      <c r="C929" s="65"/>
      <c r="F929" s="49"/>
    </row>
    <row r="930" spans="1:6" ht="12.75">
      <c r="A930" s="45"/>
      <c r="B930" s="46"/>
      <c r="C930" s="65"/>
      <c r="F930" s="49"/>
    </row>
    <row r="931" spans="1:6" ht="12.75">
      <c r="A931" s="39"/>
      <c r="C931" s="65"/>
      <c r="F931" s="49"/>
    </row>
    <row r="932" spans="1:6" ht="12.75">
      <c r="A932" s="39"/>
      <c r="C932" s="65"/>
      <c r="F932" s="49"/>
    </row>
    <row r="933" spans="1:6" ht="12.75">
      <c r="A933" s="45"/>
      <c r="B933" s="46"/>
      <c r="C933" s="65"/>
      <c r="F933" s="49"/>
    </row>
    <row r="934" spans="1:6" ht="12.75">
      <c r="A934" s="39"/>
      <c r="C934" s="65"/>
      <c r="F934" s="49"/>
    </row>
    <row r="935" spans="1:6" ht="12.75">
      <c r="A935" s="39"/>
      <c r="C935" s="65"/>
      <c r="F935" s="49"/>
    </row>
    <row r="936" spans="1:6" ht="12.75">
      <c r="A936" s="45"/>
      <c r="B936" s="46"/>
      <c r="C936" s="65"/>
      <c r="F936" s="49"/>
    </row>
    <row r="937" spans="1:6" ht="12.75">
      <c r="A937" s="39"/>
      <c r="C937" s="65"/>
      <c r="F937" s="49"/>
    </row>
    <row r="938" spans="1:6" ht="12.75">
      <c r="A938" s="39"/>
      <c r="C938" s="65"/>
      <c r="F938" s="49"/>
    </row>
    <row r="939" spans="1:6" ht="12.75">
      <c r="A939" s="45"/>
      <c r="B939" s="46"/>
      <c r="C939" s="65"/>
      <c r="F939" s="49"/>
    </row>
    <row r="940" spans="1:6" ht="12.75">
      <c r="A940" s="39"/>
      <c r="C940" s="65"/>
      <c r="F940" s="49"/>
    </row>
    <row r="941" spans="1:6" ht="12.75">
      <c r="A941" s="39"/>
      <c r="C941" s="65"/>
      <c r="F941" s="49"/>
    </row>
    <row r="942" spans="1:6" ht="12.75">
      <c r="A942" s="45"/>
      <c r="B942" s="46"/>
      <c r="C942" s="65"/>
      <c r="F942" s="49"/>
    </row>
    <row r="943" spans="1:6" ht="12.75">
      <c r="A943" s="39"/>
      <c r="C943" s="65"/>
      <c r="F943" s="49"/>
    </row>
    <row r="944" spans="1:6" ht="12.75">
      <c r="A944" s="39"/>
      <c r="C944" s="65"/>
      <c r="F944" s="49"/>
    </row>
    <row r="945" spans="1:6" ht="12.75">
      <c r="A945" s="45"/>
      <c r="B945" s="46"/>
      <c r="C945" s="65"/>
      <c r="F945" s="49"/>
    </row>
    <row r="946" spans="1:6" ht="12.75">
      <c r="A946" s="39"/>
      <c r="C946" s="65"/>
      <c r="F946" s="49"/>
    </row>
    <row r="947" spans="1:6" ht="12.75">
      <c r="A947" s="39"/>
      <c r="C947" s="65"/>
      <c r="F947" s="49"/>
    </row>
    <row r="948" spans="1:6" ht="12.75">
      <c r="A948" s="45"/>
      <c r="B948" s="46"/>
      <c r="C948" s="65"/>
      <c r="F948" s="49"/>
    </row>
    <row r="949" spans="1:6" ht="12.75">
      <c r="A949" s="39"/>
      <c r="C949" s="65"/>
      <c r="F949" s="49"/>
    </row>
    <row r="950" spans="1:6" ht="12.75">
      <c r="A950" s="39"/>
      <c r="C950" s="65"/>
      <c r="F950" s="49"/>
    </row>
    <row r="951" spans="1:6" ht="12.75">
      <c r="A951" s="45"/>
      <c r="B951" s="46"/>
      <c r="C951" s="65"/>
      <c r="F951" s="49"/>
    </row>
    <row r="952" spans="1:6" ht="12.75">
      <c r="A952" s="39"/>
      <c r="C952" s="65"/>
      <c r="F952" s="49"/>
    </row>
    <row r="953" spans="1:6" ht="12.75">
      <c r="A953" s="39"/>
      <c r="C953" s="65"/>
      <c r="F953" s="49"/>
    </row>
    <row r="954" spans="1:6" ht="12.75">
      <c r="A954" s="45"/>
      <c r="B954" s="46"/>
      <c r="C954" s="65"/>
      <c r="F954" s="49"/>
    </row>
    <row r="955" spans="1:6" ht="12.75">
      <c r="A955" s="39"/>
      <c r="C955" s="65"/>
      <c r="F955" s="49"/>
    </row>
    <row r="956" spans="1:6" ht="12.75">
      <c r="A956" s="39"/>
      <c r="C956" s="65"/>
      <c r="F956" s="49"/>
    </row>
    <row r="957" spans="1:6" ht="12.75">
      <c r="A957" s="45"/>
      <c r="B957" s="46"/>
      <c r="C957" s="65"/>
      <c r="F957" s="49"/>
    </row>
    <row r="958" spans="1:6" ht="12.75">
      <c r="A958" s="39"/>
      <c r="C958" s="65"/>
      <c r="F958" s="49"/>
    </row>
    <row r="959" spans="1:6" ht="12.75">
      <c r="A959" s="39"/>
      <c r="C959" s="65"/>
      <c r="F959" s="49"/>
    </row>
    <row r="960" spans="1:6" ht="12.75">
      <c r="A960" s="45"/>
      <c r="B960" s="46"/>
      <c r="C960" s="65"/>
      <c r="F960" s="49"/>
    </row>
    <row r="961" spans="1:6" ht="12.75">
      <c r="A961" s="39"/>
      <c r="C961" s="65"/>
      <c r="F961" s="49"/>
    </row>
    <row r="962" spans="1:6" ht="12.75">
      <c r="A962" s="39"/>
      <c r="C962" s="65"/>
      <c r="F962" s="49"/>
    </row>
    <row r="963" spans="1:6" ht="12.75">
      <c r="A963" s="45"/>
      <c r="B963" s="46"/>
      <c r="C963" s="65"/>
      <c r="F963" s="49"/>
    </row>
    <row r="964" spans="1:6" ht="12.75">
      <c r="A964" s="39"/>
      <c r="C964" s="65"/>
      <c r="F964" s="49"/>
    </row>
    <row r="965" spans="1:6" ht="12.75">
      <c r="A965" s="39"/>
      <c r="C965" s="65"/>
      <c r="F965" s="49"/>
    </row>
    <row r="966" spans="1:6" ht="12.75">
      <c r="A966" s="45"/>
      <c r="B966" s="46"/>
      <c r="C966" s="65"/>
      <c r="F966" s="49"/>
    </row>
    <row r="967" spans="1:6" ht="12.75">
      <c r="A967" s="39"/>
      <c r="C967" s="65"/>
      <c r="F967" s="49"/>
    </row>
    <row r="968" spans="1:6" ht="12.75">
      <c r="A968" s="39"/>
      <c r="C968" s="65"/>
      <c r="F968" s="49"/>
    </row>
    <row r="969" spans="1:6" ht="12.75">
      <c r="A969" s="45"/>
      <c r="B969" s="46"/>
      <c r="C969" s="65"/>
      <c r="F969" s="49"/>
    </row>
    <row r="970" spans="1:6" ht="12.75">
      <c r="A970" s="39"/>
      <c r="C970" s="65"/>
      <c r="F970" s="49"/>
    </row>
    <row r="971" spans="1:6" ht="12.75">
      <c r="A971" s="39"/>
      <c r="C971" s="65"/>
      <c r="F971" s="49"/>
    </row>
    <row r="972" spans="1:6" ht="12.75">
      <c r="A972" s="45"/>
      <c r="B972" s="46"/>
      <c r="C972" s="65"/>
      <c r="F972" s="49"/>
    </row>
    <row r="973" spans="1:6" ht="12.75">
      <c r="A973" s="39"/>
      <c r="C973" s="65"/>
      <c r="F973" s="49"/>
    </row>
    <row r="974" spans="1:6" ht="12.75">
      <c r="A974" s="39"/>
      <c r="C974" s="65"/>
      <c r="F974" s="49"/>
    </row>
    <row r="975" spans="1:6" ht="12.75">
      <c r="A975" s="45"/>
      <c r="B975" s="46"/>
      <c r="C975" s="65"/>
      <c r="F975" s="49"/>
    </row>
    <row r="976" spans="1:6" ht="12.75">
      <c r="A976" s="39"/>
      <c r="C976" s="65"/>
      <c r="F976" s="49"/>
    </row>
    <row r="977" spans="1:6" ht="12.75">
      <c r="A977" s="39"/>
      <c r="C977" s="65"/>
      <c r="F977" s="49"/>
    </row>
    <row r="978" spans="1:6" ht="12.75">
      <c r="A978" s="45"/>
      <c r="B978" s="46"/>
      <c r="C978" s="65"/>
      <c r="F978" s="49"/>
    </row>
    <row r="979" spans="1:6" ht="12.75">
      <c r="A979" s="39"/>
      <c r="C979" s="65"/>
      <c r="F979" s="49"/>
    </row>
    <row r="980" spans="1:6" ht="12.75">
      <c r="A980" s="39"/>
      <c r="C980" s="65"/>
      <c r="F980" s="49"/>
    </row>
    <row r="981" spans="1:6" ht="12.75">
      <c r="A981" s="45"/>
      <c r="B981" s="46"/>
      <c r="C981" s="65"/>
      <c r="F981" s="49"/>
    </row>
    <row r="982" spans="1:6" ht="12.75">
      <c r="A982" s="39"/>
      <c r="C982" s="65"/>
      <c r="F982" s="49"/>
    </row>
    <row r="983" spans="1:6" ht="12.75">
      <c r="A983" s="39"/>
      <c r="C983" s="65"/>
      <c r="F983" s="49"/>
    </row>
    <row r="984" spans="1:6" ht="12.75">
      <c r="A984" s="45"/>
      <c r="B984" s="46"/>
      <c r="C984" s="65"/>
      <c r="F984" s="49"/>
    </row>
    <row r="985" spans="1:6" ht="12.75">
      <c r="A985" s="39"/>
      <c r="C985" s="65"/>
      <c r="F985" s="49"/>
    </row>
    <row r="986" spans="1:6" ht="12.75">
      <c r="A986" s="39"/>
      <c r="C986" s="65"/>
      <c r="F986" s="49"/>
    </row>
    <row r="987" spans="1:6" ht="12.75">
      <c r="A987" s="45"/>
      <c r="B987" s="46"/>
      <c r="C987" s="65"/>
      <c r="F987" s="49"/>
    </row>
    <row r="988" spans="1:6" ht="12.75">
      <c r="A988" s="39"/>
      <c r="C988" s="65"/>
      <c r="F988" s="49"/>
    </row>
    <row r="989" spans="1:6" ht="12.75">
      <c r="A989" s="39"/>
      <c r="C989" s="65"/>
      <c r="F989" s="49"/>
    </row>
    <row r="990" spans="1:6" ht="12.75">
      <c r="A990" s="45"/>
      <c r="B990" s="46"/>
      <c r="C990" s="65"/>
      <c r="F990" s="49"/>
    </row>
    <row r="991" spans="1:6" ht="12.75">
      <c r="A991" s="39"/>
      <c r="C991" s="65"/>
      <c r="F991" s="49"/>
    </row>
    <row r="992" spans="1:6" ht="12.75">
      <c r="A992" s="39"/>
      <c r="C992" s="65"/>
      <c r="F992" s="49"/>
    </row>
    <row r="993" spans="1:6" ht="12.75">
      <c r="A993" s="45"/>
      <c r="B993" s="46"/>
      <c r="C993" s="65"/>
      <c r="F993" s="49"/>
    </row>
    <row r="994" spans="1:6" ht="12.75">
      <c r="A994" s="39"/>
      <c r="C994" s="65"/>
      <c r="F994" s="49"/>
    </row>
    <row r="995" spans="1:6" ht="12.75">
      <c r="A995" s="39"/>
      <c r="C995" s="65"/>
      <c r="F995" s="49"/>
    </row>
    <row r="996" spans="1:6" ht="12.75">
      <c r="A996" s="45"/>
      <c r="B996" s="46"/>
      <c r="C996" s="65"/>
      <c r="F996" s="49"/>
    </row>
    <row r="997" spans="1:6" ht="12.75">
      <c r="A997" s="39"/>
      <c r="C997" s="65"/>
      <c r="F997" s="49"/>
    </row>
    <row r="998" spans="1:6" ht="12.75">
      <c r="A998" s="39"/>
      <c r="C998" s="65"/>
      <c r="F998" s="49"/>
    </row>
    <row r="999" spans="1:6" ht="12.75">
      <c r="A999" s="45"/>
      <c r="B999" s="46"/>
      <c r="C999" s="65"/>
      <c r="F999" s="49"/>
    </row>
    <row r="1000" spans="1:6" ht="12.75">
      <c r="A1000" s="39"/>
      <c r="C1000" s="65"/>
      <c r="F1000" s="49"/>
    </row>
    <row r="1001" spans="1:6" ht="12.75">
      <c r="A1001" s="39"/>
      <c r="C1001" s="65"/>
      <c r="F1001" s="49"/>
    </row>
    <row r="1002" spans="1:6" ht="12.75">
      <c r="A1002" s="45"/>
      <c r="B1002" s="46"/>
      <c r="C1002" s="65"/>
      <c r="F1002" s="49"/>
    </row>
    <row r="1003" spans="1:6" ht="12.75">
      <c r="A1003" s="39"/>
      <c r="C1003" s="65"/>
      <c r="F1003" s="49"/>
    </row>
    <row r="1004" spans="1:6" ht="12.75">
      <c r="A1004" s="39"/>
      <c r="C1004" s="65"/>
      <c r="F1004" s="49"/>
    </row>
    <row r="1005" spans="1:6" ht="12.75">
      <c r="A1005" s="45"/>
      <c r="B1005" s="46"/>
      <c r="C1005" s="65"/>
      <c r="F1005" s="49"/>
    </row>
    <row r="1006" spans="1:6" ht="12.75">
      <c r="A1006" s="39"/>
      <c r="C1006" s="65"/>
      <c r="F1006" s="49"/>
    </row>
    <row r="1007" spans="1:6" ht="12.75">
      <c r="A1007" s="39"/>
      <c r="C1007" s="65"/>
      <c r="F1007" s="49"/>
    </row>
    <row r="1008" spans="1:6" ht="12.75">
      <c r="A1008" s="45"/>
      <c r="B1008" s="46"/>
      <c r="C1008" s="65"/>
      <c r="F1008" s="49"/>
    </row>
    <row r="1009" spans="1:6" ht="12.75">
      <c r="A1009" s="39"/>
      <c r="C1009" s="65"/>
      <c r="F1009" s="49"/>
    </row>
    <row r="1010" spans="1:6" ht="12.75">
      <c r="A1010" s="39"/>
      <c r="C1010" s="65"/>
      <c r="F1010" s="49"/>
    </row>
    <row r="1011" spans="1:6" ht="12.75">
      <c r="A1011" s="45"/>
      <c r="B1011" s="46"/>
      <c r="C1011" s="65"/>
      <c r="F1011" s="49"/>
    </row>
    <row r="1012" spans="1:6" ht="12.75">
      <c r="A1012" s="39"/>
      <c r="C1012" s="65"/>
      <c r="F1012" s="49"/>
    </row>
    <row r="1013" spans="1:6" ht="12.75">
      <c r="A1013" s="39"/>
      <c r="C1013" s="65"/>
      <c r="F1013" s="49"/>
    </row>
    <row r="1014" spans="1:6" ht="12.75">
      <c r="A1014" s="45"/>
      <c r="B1014" s="46"/>
      <c r="C1014" s="65"/>
      <c r="F1014" s="49"/>
    </row>
    <row r="1015" spans="1:6" ht="12.75">
      <c r="A1015" s="39"/>
      <c r="C1015" s="65"/>
      <c r="F1015" s="49"/>
    </row>
    <row r="1016" spans="1:6" ht="12.75">
      <c r="A1016" s="39"/>
      <c r="C1016" s="65"/>
      <c r="F1016" s="49"/>
    </row>
    <row r="1017" spans="1:6" ht="12.75">
      <c r="A1017" s="45"/>
      <c r="B1017" s="46"/>
      <c r="C1017" s="65"/>
      <c r="F1017" s="49"/>
    </row>
    <row r="1018" spans="1:6" ht="12.75">
      <c r="A1018" s="39"/>
      <c r="C1018" s="65"/>
      <c r="F1018" s="49"/>
    </row>
    <row r="1019" spans="1:6" ht="12.75">
      <c r="A1019" s="39"/>
      <c r="C1019" s="65"/>
      <c r="F1019" s="49"/>
    </row>
    <row r="1020" spans="1:6" ht="12.75">
      <c r="A1020" s="45"/>
      <c r="B1020" s="46"/>
      <c r="C1020" s="65"/>
      <c r="F1020" s="49"/>
    </row>
    <row r="1021" spans="1:6" ht="12.75">
      <c r="A1021" s="39"/>
      <c r="C1021" s="65"/>
      <c r="F1021" s="49"/>
    </row>
    <row r="1022" spans="1:6" ht="12.75">
      <c r="A1022" s="39"/>
      <c r="C1022" s="65"/>
      <c r="F1022" s="49"/>
    </row>
    <row r="1023" spans="1:6" ht="12.75">
      <c r="A1023" s="45"/>
      <c r="B1023" s="46"/>
      <c r="C1023" s="65"/>
      <c r="F1023" s="49"/>
    </row>
    <row r="1024" spans="1:6" ht="12.75">
      <c r="A1024" s="39"/>
      <c r="C1024" s="65"/>
      <c r="F1024" s="49"/>
    </row>
    <row r="1025" spans="1:6" ht="12.75">
      <c r="A1025" s="39"/>
      <c r="C1025" s="65"/>
      <c r="F1025" s="49"/>
    </row>
    <row r="1026" spans="1:6" ht="12.75">
      <c r="A1026" s="45"/>
      <c r="B1026" s="46"/>
      <c r="C1026" s="65"/>
      <c r="F1026" s="49"/>
    </row>
    <row r="1027" spans="1:6" ht="12.75">
      <c r="A1027" s="39"/>
      <c r="C1027" s="65"/>
      <c r="F1027" s="49"/>
    </row>
    <row r="1028" spans="1:6" ht="12.75">
      <c r="A1028" s="39"/>
      <c r="C1028" s="65"/>
      <c r="F1028" s="49"/>
    </row>
    <row r="1029" spans="1:6" ht="12.75">
      <c r="A1029" s="45"/>
      <c r="B1029" s="46"/>
      <c r="C1029" s="65"/>
      <c r="F1029" s="49"/>
    </row>
    <row r="1030" spans="1:6" ht="12.75">
      <c r="A1030" s="39"/>
      <c r="C1030" s="65"/>
      <c r="F1030" s="49"/>
    </row>
    <row r="1031" spans="1:6" ht="12.75">
      <c r="A1031" s="39"/>
      <c r="C1031" s="65"/>
      <c r="F1031" s="49"/>
    </row>
    <row r="1032" spans="1:6" ht="12.75">
      <c r="A1032" s="45"/>
      <c r="B1032" s="46"/>
      <c r="C1032" s="65"/>
      <c r="F1032" s="49"/>
    </row>
    <row r="1033" spans="1:6" ht="12.75">
      <c r="A1033" s="39"/>
      <c r="C1033" s="65"/>
      <c r="F1033" s="49"/>
    </row>
    <row r="1034" spans="1:6" ht="12.75">
      <c r="A1034" s="39"/>
      <c r="C1034" s="65"/>
      <c r="F1034" s="49"/>
    </row>
    <row r="1035" spans="1:6" ht="12.75">
      <c r="A1035" s="45"/>
      <c r="B1035" s="46"/>
      <c r="C1035" s="65"/>
      <c r="F1035" s="49"/>
    </row>
    <row r="1036" spans="1:6" ht="12.75">
      <c r="A1036" s="39"/>
      <c r="C1036" s="65"/>
      <c r="F1036" s="49"/>
    </row>
    <row r="1037" spans="1:6" ht="12.75">
      <c r="A1037" s="39"/>
      <c r="C1037" s="65"/>
      <c r="F1037" s="49"/>
    </row>
    <row r="1038" spans="1:6" ht="12.75">
      <c r="A1038" s="45"/>
      <c r="B1038" s="46"/>
      <c r="C1038" s="65"/>
      <c r="F1038" s="49"/>
    </row>
    <row r="1039" spans="1:6" ht="12.75">
      <c r="A1039" s="39"/>
      <c r="C1039" s="65"/>
      <c r="F1039" s="49"/>
    </row>
    <row r="1040" spans="1:6" ht="12.75">
      <c r="A1040" s="39"/>
      <c r="C1040" s="65"/>
      <c r="F1040" s="49"/>
    </row>
    <row r="1041" spans="1:6" ht="12.75">
      <c r="A1041" s="45"/>
      <c r="B1041" s="46"/>
      <c r="C1041" s="65"/>
      <c r="F1041" s="49"/>
    </row>
    <row r="1042" spans="1:6" ht="12.75">
      <c r="A1042" s="39"/>
      <c r="C1042" s="65"/>
      <c r="F1042" s="49"/>
    </row>
    <row r="1043" spans="1:6" ht="12.75">
      <c r="A1043" s="39"/>
      <c r="C1043" s="65"/>
      <c r="F1043" s="49"/>
    </row>
    <row r="1044" spans="1:6" ht="12.75">
      <c r="A1044" s="45"/>
      <c r="B1044" s="46"/>
      <c r="C1044" s="65"/>
      <c r="F1044" s="49"/>
    </row>
    <row r="1045" spans="1:6" ht="12.75">
      <c r="A1045" s="39"/>
      <c r="C1045" s="65"/>
      <c r="F1045" s="49"/>
    </row>
    <row r="1046" spans="1:6" ht="12.75">
      <c r="A1046" s="39"/>
      <c r="C1046" s="65"/>
      <c r="F1046" s="49"/>
    </row>
    <row r="1047" spans="1:6" ht="12.75">
      <c r="A1047" s="45"/>
      <c r="B1047" s="46"/>
      <c r="C1047" s="65"/>
      <c r="F1047" s="49"/>
    </row>
    <row r="1048" spans="1:6" ht="12.75">
      <c r="A1048" s="39"/>
      <c r="C1048" s="65"/>
      <c r="F1048" s="49"/>
    </row>
    <row r="1049" spans="1:6" ht="12.75">
      <c r="A1049" s="39"/>
      <c r="C1049" s="65"/>
      <c r="F1049" s="49"/>
    </row>
    <row r="1050" spans="1:6" ht="12.75">
      <c r="A1050" s="45"/>
      <c r="B1050" s="46"/>
      <c r="C1050" s="65"/>
      <c r="F1050" s="49"/>
    </row>
    <row r="1051" spans="1:6" ht="12.75">
      <c r="A1051" s="39"/>
      <c r="C1051" s="65"/>
      <c r="F1051" s="49"/>
    </row>
    <row r="1052" spans="1:6" ht="12.75">
      <c r="A1052" s="39"/>
      <c r="C1052" s="65"/>
      <c r="F1052" s="49"/>
    </row>
    <row r="1053" spans="1:6" ht="12.75">
      <c r="A1053" s="45"/>
      <c r="B1053" s="46"/>
      <c r="C1053" s="65"/>
      <c r="F1053" s="49"/>
    </row>
    <row r="1054" spans="1:6" ht="12.75">
      <c r="A1054" s="39"/>
      <c r="C1054" s="65"/>
      <c r="F1054" s="49"/>
    </row>
    <row r="1055" spans="1:6" ht="12.75">
      <c r="A1055" s="39"/>
      <c r="C1055" s="65"/>
      <c r="F1055" s="49"/>
    </row>
    <row r="1056" spans="1:6" ht="12.75">
      <c r="A1056" s="45"/>
      <c r="B1056" s="46"/>
      <c r="C1056" s="65"/>
      <c r="F1056" s="49"/>
    </row>
    <row r="1057" spans="1:6" ht="12.75">
      <c r="A1057" s="39"/>
      <c r="C1057" s="65"/>
      <c r="F1057" s="49"/>
    </row>
    <row r="1058" spans="1:6" ht="12.75">
      <c r="A1058" s="39"/>
      <c r="C1058" s="65"/>
      <c r="F1058" s="49"/>
    </row>
    <row r="1059" spans="1:6" ht="12.75">
      <c r="A1059" s="45"/>
      <c r="B1059" s="46"/>
      <c r="C1059" s="65"/>
      <c r="F1059" s="49"/>
    </row>
    <row r="1060" spans="1:6" ht="12.75">
      <c r="A1060" s="39"/>
      <c r="C1060" s="65"/>
      <c r="F1060" s="49"/>
    </row>
    <row r="1061" spans="1:6" ht="12.75">
      <c r="A1061" s="39"/>
      <c r="C1061" s="65"/>
      <c r="F1061" s="49"/>
    </row>
    <row r="1062" spans="1:6" ht="12.75">
      <c r="A1062" s="45"/>
      <c r="B1062" s="46"/>
      <c r="C1062" s="65"/>
      <c r="F1062" s="49"/>
    </row>
    <row r="1063" spans="1:6" ht="12.75">
      <c r="A1063" s="39"/>
      <c r="C1063" s="65"/>
      <c r="F1063" s="49"/>
    </row>
    <row r="1064" spans="1:6" ht="12.75">
      <c r="A1064" s="39"/>
      <c r="C1064" s="65"/>
      <c r="F1064" s="49"/>
    </row>
    <row r="1065" spans="1:6" ht="12.75">
      <c r="A1065" s="45"/>
      <c r="B1065" s="46"/>
      <c r="C1065" s="65"/>
      <c r="F1065" s="49"/>
    </row>
    <row r="1066" spans="1:6" ht="12.75">
      <c r="A1066" s="39"/>
      <c r="C1066" s="65"/>
      <c r="F1066" s="49"/>
    </row>
    <row r="1067" spans="1:6" ht="12.75">
      <c r="A1067" s="39"/>
      <c r="C1067" s="65"/>
      <c r="F1067" s="49"/>
    </row>
    <row r="1068" spans="1:6" ht="12.75">
      <c r="A1068" s="45"/>
      <c r="B1068" s="46"/>
      <c r="C1068" s="65"/>
      <c r="F1068" s="49"/>
    </row>
    <row r="1069" spans="1:6" ht="12.75">
      <c r="A1069" s="39"/>
      <c r="C1069" s="65"/>
      <c r="F1069" s="49"/>
    </row>
    <row r="1070" spans="1:6" ht="12.75">
      <c r="A1070" s="39"/>
      <c r="C1070" s="65"/>
      <c r="F1070" s="49"/>
    </row>
    <row r="1071" spans="1:6" ht="12.75">
      <c r="A1071" s="45"/>
      <c r="B1071" s="46"/>
      <c r="C1071" s="65"/>
      <c r="F1071" s="49"/>
    </row>
    <row r="1072" spans="1:6" ht="12.75">
      <c r="A1072" s="39"/>
      <c r="C1072" s="65"/>
      <c r="F1072" s="49"/>
    </row>
    <row r="1073" spans="1:6" ht="12.75">
      <c r="A1073" s="39"/>
      <c r="C1073" s="65"/>
      <c r="F1073" s="49"/>
    </row>
    <row r="1074" spans="1:6" ht="12.75">
      <c r="A1074" s="45"/>
      <c r="B1074" s="46"/>
      <c r="C1074" s="65"/>
      <c r="F1074" s="49"/>
    </row>
    <row r="1075" spans="1:6" ht="12.75">
      <c r="A1075" s="39"/>
      <c r="C1075" s="65"/>
      <c r="F1075" s="49"/>
    </row>
    <row r="1076" spans="1:6" ht="12.75">
      <c r="A1076" s="39"/>
      <c r="C1076" s="65"/>
      <c r="F1076" s="49"/>
    </row>
    <row r="1077" spans="1:6" ht="12.75">
      <c r="A1077" s="45"/>
      <c r="B1077" s="46"/>
      <c r="C1077" s="65"/>
      <c r="F1077" s="49"/>
    </row>
    <row r="1078" spans="1:6" ht="12.75">
      <c r="A1078" s="39"/>
      <c r="C1078" s="65"/>
      <c r="F1078" s="49"/>
    </row>
    <row r="1079" spans="1:6" ht="12.75">
      <c r="A1079" s="39"/>
      <c r="C1079" s="65"/>
      <c r="F1079" s="49"/>
    </row>
    <row r="1080" spans="1:6" ht="12.75">
      <c r="A1080" s="45"/>
      <c r="B1080" s="46"/>
      <c r="C1080" s="65"/>
      <c r="F1080" s="49"/>
    </row>
    <row r="1081" spans="1:6" ht="12.75">
      <c r="A1081" s="39"/>
      <c r="C1081" s="65"/>
      <c r="F1081" s="49"/>
    </row>
    <row r="1082" spans="1:6" ht="12.75">
      <c r="A1082" s="39"/>
      <c r="C1082" s="65"/>
      <c r="F1082" s="49"/>
    </row>
    <row r="1083" spans="1:6" ht="12.75">
      <c r="A1083" s="45"/>
      <c r="B1083" s="46"/>
      <c r="C1083" s="65"/>
      <c r="F1083" s="49"/>
    </row>
    <row r="1084" spans="1:6" ht="12.75">
      <c r="A1084" s="39"/>
      <c r="C1084" s="65"/>
      <c r="F1084" s="49"/>
    </row>
    <row r="1085" spans="1:6" ht="12.75">
      <c r="A1085" s="39"/>
      <c r="C1085" s="65"/>
      <c r="F1085" s="49"/>
    </row>
    <row r="1086" spans="1:6" ht="12.75">
      <c r="A1086" s="45"/>
      <c r="B1086" s="46"/>
      <c r="C1086" s="65"/>
      <c r="F1086" s="49"/>
    </row>
    <row r="1087" spans="1:6" ht="12.75">
      <c r="A1087" s="39"/>
      <c r="C1087" s="65"/>
      <c r="F1087" s="49"/>
    </row>
    <row r="1088" spans="1:6" ht="12.75">
      <c r="A1088" s="39"/>
      <c r="C1088" s="65"/>
      <c r="F1088" s="49"/>
    </row>
    <row r="1089" spans="1:6" ht="12.75">
      <c r="A1089" s="45"/>
      <c r="B1089" s="46"/>
      <c r="C1089" s="65"/>
      <c r="F1089" s="49"/>
    </row>
    <row r="1090" spans="1:6" ht="12.75">
      <c r="A1090" s="39"/>
      <c r="C1090" s="65"/>
      <c r="F1090" s="49"/>
    </row>
    <row r="1091" spans="1:6" ht="12.75">
      <c r="A1091" s="39"/>
      <c r="C1091" s="65"/>
      <c r="F1091" s="49"/>
    </row>
    <row r="1092" spans="1:6" ht="12.75">
      <c r="A1092" s="45"/>
      <c r="B1092" s="46"/>
      <c r="C1092" s="65"/>
      <c r="F1092" s="49"/>
    </row>
    <row r="1093" spans="1:6" ht="12.75">
      <c r="A1093" s="39"/>
      <c r="C1093" s="65"/>
      <c r="F1093" s="49"/>
    </row>
    <row r="1094" spans="1:6" ht="12.75">
      <c r="A1094" s="39"/>
      <c r="C1094" s="65"/>
      <c r="F1094" s="49"/>
    </row>
    <row r="1095" spans="1:6" ht="12.75">
      <c r="A1095" s="45"/>
      <c r="B1095" s="46"/>
      <c r="C1095" s="65"/>
      <c r="F1095" s="49"/>
    </row>
    <row r="1096" spans="1:6" ht="12.75">
      <c r="A1096" s="39"/>
      <c r="C1096" s="65"/>
      <c r="F1096" s="49"/>
    </row>
    <row r="1097" spans="1:6" ht="12.75">
      <c r="A1097" s="39"/>
      <c r="C1097" s="65"/>
      <c r="F1097" s="49"/>
    </row>
    <row r="1098" spans="1:6" ht="12.75">
      <c r="A1098" s="45"/>
      <c r="B1098" s="46"/>
      <c r="C1098" s="65"/>
      <c r="F1098" s="49"/>
    </row>
    <row r="1099" spans="1:6" ht="12.75">
      <c r="A1099" s="39"/>
      <c r="C1099" s="65"/>
      <c r="F1099" s="49"/>
    </row>
    <row r="1100" spans="1:6" ht="12.75">
      <c r="A1100" s="39"/>
      <c r="C1100" s="65"/>
      <c r="F1100" s="49"/>
    </row>
    <row r="1101" spans="1:6" ht="12.75">
      <c r="A1101" s="45"/>
      <c r="B1101" s="46"/>
      <c r="C1101" s="65"/>
      <c r="F1101" s="49"/>
    </row>
    <row r="1102" spans="1:6" ht="12.75">
      <c r="A1102" s="39"/>
      <c r="C1102" s="65"/>
      <c r="F1102" s="49"/>
    </row>
    <row r="1103" spans="1:6" ht="12.75">
      <c r="A1103" s="39"/>
      <c r="C1103" s="65"/>
      <c r="F1103" s="49"/>
    </row>
    <row r="1104" spans="1:6" ht="12.75">
      <c r="A1104" s="45"/>
      <c r="B1104" s="46"/>
      <c r="C1104" s="65"/>
      <c r="F1104" s="49"/>
    </row>
    <row r="1105" spans="1:6" ht="12.75">
      <c r="A1105" s="39"/>
      <c r="C1105" s="65"/>
      <c r="F1105" s="49"/>
    </row>
    <row r="1106" spans="1:6" ht="12.75">
      <c r="A1106" s="39"/>
      <c r="C1106" s="65"/>
      <c r="F1106" s="49"/>
    </row>
    <row r="1107" spans="1:6" ht="12.75">
      <c r="A1107" s="45"/>
      <c r="B1107" s="46"/>
      <c r="C1107" s="65"/>
      <c r="F1107" s="49"/>
    </row>
    <row r="1108" spans="1:6" ht="12.75">
      <c r="A1108" s="39"/>
      <c r="C1108" s="65"/>
      <c r="F1108" s="49"/>
    </row>
    <row r="1109" spans="1:6" ht="12.75">
      <c r="A1109" s="39"/>
      <c r="C1109" s="65"/>
      <c r="F1109" s="49"/>
    </row>
    <row r="1110" spans="1:6" ht="12.75">
      <c r="A1110" s="45"/>
      <c r="B1110" s="46"/>
      <c r="C1110" s="65"/>
      <c r="F1110" s="49"/>
    </row>
    <row r="1111" spans="1:6" ht="12.75">
      <c r="A1111" s="39"/>
      <c r="C1111" s="65"/>
      <c r="F1111" s="49"/>
    </row>
    <row r="1112" spans="1:6" ht="12.75">
      <c r="A1112" s="39"/>
      <c r="C1112" s="65"/>
      <c r="F1112" s="49"/>
    </row>
    <row r="1113" spans="1:6" ht="12.75">
      <c r="A1113" s="45"/>
      <c r="B1113" s="46"/>
      <c r="C1113" s="65"/>
      <c r="F1113" s="49"/>
    </row>
    <row r="1114" spans="1:6" ht="12.75">
      <c r="A1114" s="39"/>
      <c r="C1114" s="65"/>
      <c r="F1114" s="49"/>
    </row>
    <row r="1115" spans="1:6" ht="12.75">
      <c r="A1115" s="39"/>
      <c r="C1115" s="65"/>
      <c r="F1115" s="49"/>
    </row>
    <row r="1116" spans="1:6" ht="12.75">
      <c r="A1116" s="45"/>
      <c r="B1116" s="46"/>
      <c r="C1116" s="65"/>
      <c r="F1116" s="49"/>
    </row>
    <row r="1117" spans="1:6" ht="12.75">
      <c r="A1117" s="39"/>
      <c r="C1117" s="65"/>
      <c r="F1117" s="49"/>
    </row>
    <row r="1118" spans="1:6" ht="12.75">
      <c r="A1118" s="39"/>
      <c r="C1118" s="65"/>
      <c r="F1118" s="49"/>
    </row>
    <row r="1119" spans="1:6" ht="12.75">
      <c r="A1119" s="45"/>
      <c r="B1119" s="46"/>
      <c r="C1119" s="65"/>
      <c r="F1119" s="49"/>
    </row>
    <row r="1120" spans="1:6" ht="12.75">
      <c r="A1120" s="39"/>
      <c r="C1120" s="65"/>
      <c r="F1120" s="49"/>
    </row>
    <row r="1121" spans="1:6" ht="12.75">
      <c r="A1121" s="39"/>
      <c r="C1121" s="65"/>
      <c r="F1121" s="49"/>
    </row>
    <row r="1122" spans="1:6" ht="12.75">
      <c r="A1122" s="45"/>
      <c r="B1122" s="46"/>
      <c r="C1122" s="65"/>
      <c r="F1122" s="49"/>
    </row>
    <row r="1123" spans="1:6" ht="12.75">
      <c r="A1123" s="39"/>
      <c r="C1123" s="65"/>
      <c r="F1123" s="49"/>
    </row>
    <row r="1124" spans="1:6" ht="12.75">
      <c r="A1124" s="39"/>
      <c r="C1124" s="65"/>
      <c r="F1124" s="49"/>
    </row>
    <row r="1125" spans="1:6" ht="12.75">
      <c r="A1125" s="45"/>
      <c r="B1125" s="46"/>
      <c r="C1125" s="65"/>
      <c r="F1125" s="49"/>
    </row>
    <row r="1126" spans="1:6" ht="12.75">
      <c r="A1126" s="39"/>
      <c r="C1126" s="65"/>
      <c r="F1126" s="49"/>
    </row>
    <row r="1127" spans="1:6" ht="12.75">
      <c r="A1127" s="39"/>
      <c r="C1127" s="65"/>
      <c r="F1127" s="49"/>
    </row>
    <row r="1128" spans="1:6" ht="12.75">
      <c r="A1128" s="45"/>
      <c r="B1128" s="46"/>
      <c r="C1128" s="65"/>
      <c r="F1128" s="49"/>
    </row>
    <row r="1129" spans="1:6" ht="12.75">
      <c r="A1129" s="39"/>
      <c r="C1129" s="65"/>
      <c r="F1129" s="49"/>
    </row>
    <row r="1130" spans="1:6" ht="12.75">
      <c r="A1130" s="39"/>
      <c r="C1130" s="65"/>
      <c r="F1130" s="49"/>
    </row>
    <row r="1131" spans="1:6" ht="12.75">
      <c r="A1131" s="45"/>
      <c r="B1131" s="46"/>
      <c r="C1131" s="65"/>
      <c r="F1131" s="49"/>
    </row>
    <row r="1132" spans="1:6" ht="12.75">
      <c r="A1132" s="39"/>
      <c r="C1132" s="65"/>
      <c r="F1132" s="49"/>
    </row>
    <row r="1133" spans="1:6" ht="12.75">
      <c r="A1133" s="39"/>
      <c r="C1133" s="65"/>
      <c r="F1133" s="49"/>
    </row>
    <row r="1134" spans="1:6" ht="12.75">
      <c r="A1134" s="45"/>
      <c r="B1134" s="46"/>
      <c r="C1134" s="65"/>
      <c r="F1134" s="49"/>
    </row>
    <row r="1135" spans="1:6" ht="12.75">
      <c r="A1135" s="39"/>
      <c r="C1135" s="65"/>
      <c r="F1135" s="49"/>
    </row>
    <row r="1136" spans="1:6" ht="12.75">
      <c r="A1136" s="39"/>
      <c r="C1136" s="65"/>
      <c r="F1136" s="49"/>
    </row>
    <row r="1137" spans="1:6" ht="12.75">
      <c r="A1137" s="45"/>
      <c r="B1137" s="46"/>
      <c r="C1137" s="65"/>
      <c r="F1137" s="49"/>
    </row>
    <row r="1138" spans="1:6" ht="12.75">
      <c r="A1138" s="39"/>
      <c r="C1138" s="65"/>
      <c r="F1138" s="49"/>
    </row>
    <row r="1139" spans="1:6" ht="12.75">
      <c r="A1139" s="39"/>
      <c r="C1139" s="65"/>
      <c r="F1139" s="49"/>
    </row>
    <row r="1140" spans="1:6" ht="12.75">
      <c r="A1140" s="45"/>
      <c r="B1140" s="46"/>
      <c r="C1140" s="65"/>
      <c r="F1140" s="49"/>
    </row>
    <row r="1141" spans="1:6" ht="12.75">
      <c r="A1141" s="39"/>
      <c r="C1141" s="65"/>
      <c r="F1141" s="49"/>
    </row>
    <row r="1142" spans="1:6" ht="12.75">
      <c r="A1142" s="39"/>
      <c r="C1142" s="65"/>
      <c r="F1142" s="49"/>
    </row>
    <row r="1143" spans="1:6" ht="12.75">
      <c r="A1143" s="45"/>
      <c r="B1143" s="46"/>
      <c r="C1143" s="65"/>
      <c r="F1143" s="49"/>
    </row>
    <row r="1144" spans="1:6" ht="12.75">
      <c r="A1144" s="39"/>
      <c r="C1144" s="65"/>
      <c r="F1144" s="49"/>
    </row>
    <row r="1145" spans="1:6" ht="12.75">
      <c r="A1145" s="39"/>
      <c r="C1145" s="65"/>
      <c r="F1145" s="49"/>
    </row>
    <row r="1146" spans="1:6" ht="12.75">
      <c r="A1146" s="45"/>
      <c r="B1146" s="46"/>
      <c r="C1146" s="65"/>
      <c r="F1146" s="49"/>
    </row>
    <row r="1147" spans="1:6" ht="12.75">
      <c r="A1147" s="39"/>
      <c r="C1147" s="65"/>
      <c r="F1147" s="49"/>
    </row>
    <row r="1148" spans="1:6" ht="12.75">
      <c r="A1148" s="39"/>
      <c r="C1148" s="65"/>
      <c r="F1148" s="49"/>
    </row>
    <row r="1149" spans="1:6" ht="12.75">
      <c r="A1149" s="45"/>
      <c r="B1149" s="46"/>
      <c r="C1149" s="65"/>
      <c r="F1149" s="49"/>
    </row>
    <row r="1150" spans="1:6" ht="12.75">
      <c r="A1150" s="39"/>
      <c r="C1150" s="65"/>
      <c r="F1150" s="49"/>
    </row>
    <row r="1151" spans="1:6" ht="12.75">
      <c r="A1151" s="39"/>
      <c r="C1151" s="65"/>
      <c r="F1151" s="49"/>
    </row>
    <row r="1152" spans="1:6" ht="12.75">
      <c r="A1152" s="45"/>
      <c r="B1152" s="46"/>
      <c r="C1152" s="65"/>
      <c r="F1152" s="49"/>
    </row>
    <row r="1153" spans="1:6" ht="12.75">
      <c r="A1153" s="39"/>
      <c r="C1153" s="65"/>
      <c r="F1153" s="49"/>
    </row>
    <row r="1154" spans="1:6" ht="12.75">
      <c r="A1154" s="39"/>
      <c r="C1154" s="65"/>
      <c r="F1154" s="49"/>
    </row>
    <row r="1155" spans="1:6" ht="12.75">
      <c r="A1155" s="45"/>
      <c r="B1155" s="46"/>
      <c r="C1155" s="65"/>
      <c r="F1155" s="49"/>
    </row>
    <row r="1156" spans="1:6" ht="12.75">
      <c r="A1156" s="39"/>
      <c r="C1156" s="65"/>
      <c r="F1156" s="49"/>
    </row>
    <row r="1157" spans="1:6" ht="12.75">
      <c r="A1157" s="39"/>
      <c r="C1157" s="65"/>
      <c r="F1157" s="49"/>
    </row>
    <row r="1158" spans="1:6" ht="12.75">
      <c r="A1158" s="45"/>
      <c r="B1158" s="46"/>
      <c r="C1158" s="65"/>
      <c r="F1158" s="49"/>
    </row>
    <row r="1159" spans="1:6" ht="12.75">
      <c r="A1159" s="39"/>
      <c r="C1159" s="65"/>
      <c r="F1159" s="49"/>
    </row>
    <row r="1160" spans="1:6" ht="12.75">
      <c r="A1160" s="39"/>
      <c r="C1160" s="65"/>
      <c r="F1160" s="49"/>
    </row>
    <row r="1161" spans="1:6" ht="12.75">
      <c r="A1161" s="45"/>
      <c r="B1161" s="46"/>
      <c r="C1161" s="65"/>
      <c r="F1161" s="49"/>
    </row>
    <row r="1162" spans="1:6" ht="12.75">
      <c r="A1162" s="39"/>
      <c r="C1162" s="65"/>
      <c r="F1162" s="49"/>
    </row>
    <row r="1163" spans="1:6" ht="12.75">
      <c r="A1163" s="39"/>
      <c r="C1163" s="65"/>
      <c r="F1163" s="49"/>
    </row>
    <row r="1164" spans="1:6" ht="12.75">
      <c r="A1164" s="45"/>
      <c r="B1164" s="46"/>
      <c r="C1164" s="65"/>
      <c r="F1164" s="49"/>
    </row>
    <row r="1165" spans="1:6" ht="12.75">
      <c r="A1165" s="39"/>
      <c r="C1165" s="65"/>
      <c r="F1165" s="49"/>
    </row>
  </sheetData>
  <sheetProtection/>
  <autoFilter ref="A1:C643"/>
  <conditionalFormatting sqref="C707:C804 C845:C1165">
    <cfRule type="cellIs" priority="4" dxfId="0" operator="equal" stopIfTrue="1">
      <formula>0</formula>
    </cfRule>
  </conditionalFormatting>
  <conditionalFormatting sqref="C805">
    <cfRule type="cellIs" priority="3" dxfId="0" operator="equal" stopIfTrue="1">
      <formula>0</formula>
    </cfRule>
  </conditionalFormatting>
  <conditionalFormatting sqref="C806">
    <cfRule type="cellIs" priority="2" dxfId="0" operator="equal" stopIfTrue="1">
      <formula>0</formula>
    </cfRule>
  </conditionalFormatting>
  <conditionalFormatting sqref="C807:C844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s998095</cp:lastModifiedBy>
  <cp:lastPrinted>2018-05-15T18:54:43Z</cp:lastPrinted>
  <dcterms:created xsi:type="dcterms:W3CDTF">2009-09-04T18:19:13Z</dcterms:created>
  <dcterms:modified xsi:type="dcterms:W3CDTF">2018-05-25T17:03:37Z</dcterms:modified>
  <cp:category/>
  <cp:version/>
  <cp:contentType/>
  <cp:contentStatus/>
</cp:coreProperties>
</file>